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12"/>
  </bookViews>
  <sheets>
    <sheet name="Налоговый потен" sheetId="1" r:id="rId1"/>
    <sheet name="Коэф.масшт." sheetId="2" r:id="rId2"/>
    <sheet name="Коэф. плот.авт.дорог" sheetId="3" r:id="rId3"/>
    <sheet name="Коэф.дисп" sheetId="4" r:id="rId4"/>
    <sheet name="Расчет доли " sheetId="5" r:id="rId5"/>
    <sheet name="ИБР" sheetId="6" r:id="rId6"/>
    <sheet name="БО" sheetId="7" r:id="rId7"/>
    <sheet name="ДП" sheetId="8" r:id="rId8"/>
    <sheet name="ИДП" sheetId="9" r:id="rId9"/>
    <sheet name="субв от числ уточ" sheetId="10" r:id="rId10"/>
    <sheet name="Дотац 4000" sheetId="11" r:id="rId11"/>
    <sheet name="РФФПП" sheetId="12" r:id="rId12"/>
    <sheet name="Дотация 2020-2022" sheetId="13" r:id="rId13"/>
  </sheets>
  <definedNames>
    <definedName name="_xlnm.Print_Area" localSheetId="5">'ИБР'!$A$1:$S$21</definedName>
    <definedName name="_xlnm.Print_Area" localSheetId="0">'Налоговый потен'!$A$1:$M$19</definedName>
  </definedNames>
  <calcPr fullCalcOnLoad="1"/>
</workbook>
</file>

<file path=xl/sharedStrings.xml><?xml version="1.0" encoding="utf-8"?>
<sst xmlns="http://schemas.openxmlformats.org/spreadsheetml/2006/main" count="341" uniqueCount="171">
  <si>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</si>
  <si>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</si>
  <si>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</si>
  <si>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</si>
  <si>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</si>
  <si>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</si>
  <si>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</si>
  <si>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</si>
  <si>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</si>
  <si>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</si>
  <si>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Крестовогородищенское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</si>
  <si>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</si>
  <si>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</si>
  <si>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</si>
  <si>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</si>
  <si>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</si>
  <si>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</si>
  <si>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</si>
  <si>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</si>
  <si>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</si>
  <si>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</si>
  <si>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</si>
  <si>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</si>
  <si>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</si>
  <si>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</si>
  <si>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</si>
  <si>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</si>
  <si>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</si>
  <si>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</si>
  <si>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</si>
  <si>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</si>
  <si>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</si>
  <si>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</si>
  <si>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</si>
  <si>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</si>
  <si>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</si>
  <si>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</si>
  <si>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</si>
  <si>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</si>
  <si>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</si>
  <si>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</si>
  <si>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</si>
  <si>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</si>
  <si>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</si>
  <si>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</si>
  <si>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</si>
  <si>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</si>
  <si>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</si>
  <si>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</si>
  <si>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</si>
  <si>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</si>
  <si>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</si>
  <si>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</si>
  <si>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</si>
  <si>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</si>
  <si>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</si>
  <si>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</si>
  <si>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</si>
  <si>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</si>
  <si>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Всего по Чердаклинскому району</t>
  </si>
  <si>
    <t>с.Малаевка</t>
  </si>
  <si>
    <t>Дотация из ОФК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</si>
  <si>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</si>
  <si>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</si>
  <si>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</si>
  <si>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</si>
  <si>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</si>
  <si>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</si>
  <si>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Культура СДК</t>
  </si>
  <si>
    <t>ЖКХ</t>
  </si>
  <si>
    <t>Коэффициент масштаба</t>
  </si>
  <si>
    <t>ВСЕГО по району</t>
  </si>
  <si>
    <t>Коэффициент дисперсности</t>
  </si>
  <si>
    <t>Коэффициент плотности автодорог</t>
  </si>
  <si>
    <t>В среднем по району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</si>
  <si>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</si>
  <si>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</si>
  <si>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</si>
  <si>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</si>
  <si>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</si>
  <si>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Коэффициент плотности автомобильных дорог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</si>
  <si>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</si>
  <si>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</si>
  <si>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</si>
  <si>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</si>
  <si>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</si>
  <si>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</si>
  <si>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</si>
  <si>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</si>
  <si>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</si>
  <si>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Увеличение   ( + ), уменьшение  ( - )</t>
  </si>
  <si>
    <t>Дотация из РФК</t>
  </si>
  <si>
    <t>Субвенции из областного бюджета</t>
  </si>
  <si>
    <t>4а</t>
  </si>
  <si>
    <t>НП НДФЛ</t>
  </si>
  <si>
    <t>земельный налог</t>
  </si>
  <si>
    <t>Налог на имущество физ лиц</t>
  </si>
  <si>
    <t>БНпос/БН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</si>
  <si>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</si>
  <si>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</si>
  <si>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</si>
  <si>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</si>
  <si>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</si>
  <si>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</si>
  <si>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</si>
  <si>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</si>
  <si>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</si>
  <si>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</si>
  <si>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</si>
  <si>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</si>
  <si>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</si>
  <si>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</si>
  <si>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Сумма дотации из субвенций (тыс. руб.)</t>
  </si>
  <si>
    <t>с учетом налогового потенциала и  субвенций</t>
  </si>
  <si>
    <t xml:space="preserve">Расчет коэффициента плотности автомобильных дорог по поселениям 2014 год </t>
  </si>
  <si>
    <t>Протяженность автодорог, км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</si>
  <si>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</si>
  <si>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</si>
  <si>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</si>
  <si>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</si>
  <si>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</si>
  <si>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с учетом налогового потенциала, первой, второй части дотации и субвенций</t>
  </si>
  <si>
    <t>недостаток на з/пл и ком усл</t>
  </si>
  <si>
    <t>Оценка исполнения за 2014г. - полномочия по 136 ФЗ</t>
  </si>
  <si>
    <t>ИБР ((гр3*гр4/гр3)/(гр3мр*гр4мр/гр3мр))*27,9/100</t>
  </si>
  <si>
    <t>Прогноз налоговых, неналоговых доходов, субвенций, 1 части дотации ПДпмр</t>
  </si>
  <si>
    <t>разница</t>
  </si>
  <si>
    <t>Всего дотации</t>
  </si>
  <si>
    <t>ЖКХ, дорожная деятельность</t>
  </si>
  <si>
    <t>уточненный на 01.08.2014</t>
  </si>
  <si>
    <t>Оценка исполнения за 2014г.</t>
  </si>
  <si>
    <t>ИБР (гр6*гр7*гр8/гр6)/(гр6мр*гр7мр*гр8мр/г6мр))*25,1/100</t>
  </si>
  <si>
    <t>не расчитываем, берём с решения от 12.11.2014 № 71</t>
  </si>
  <si>
    <t>ИБР (на 37,5%)</t>
  </si>
  <si>
    <t>ИБР (9,4%)</t>
  </si>
  <si>
    <t>Всего доходов собственных, дотации из областного и местного бюджета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</si>
  <si>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</si>
  <si>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</si>
  <si>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2019г.</t>
  </si>
  <si>
    <t>Всего дотации из местного бюджета на 2018</t>
  </si>
  <si>
    <t>разница 2019-2018</t>
  </si>
  <si>
    <t>2020г.</t>
  </si>
  <si>
    <t>ВСЕГО НП на 2020г.</t>
  </si>
  <si>
    <t>Расчет коэффициента масштаба по поселениям, расположенным на территории муниципального образования «Чердаклинский район» Ульяновской области на 2020 год</t>
  </si>
  <si>
    <t>Определение доли расходов  исходя из фактического расхода без субвенций и субсидий</t>
  </si>
  <si>
    <t xml:space="preserve">Расчет индекса бюджетных расходов поселений, расположенных на территории муниципального образования «Чердаклинский район» Ульяновской области на 2020 год </t>
  </si>
  <si>
    <t>Расчет дотации из районного фонда финансовой поддержки поселений за счет субвенций из областного фонда компенсаций на 2020 год</t>
  </si>
  <si>
    <t>Расчет коэффициента дисперсности по поселениям, расположенным на территории муниципального образования «Чердаклинский район» Ульяновской области на 2020 год</t>
  </si>
  <si>
    <t>Количество жителей на 01.01.2019</t>
  </si>
  <si>
    <t>Расчет  дотации из фонда финансовой поддержки поселений, расположенных на территории муниципального образования «Чердаклинский район»  Ульяновской области на 2020 год</t>
  </si>
  <si>
    <t>Налоговый потенциал на 2020г.</t>
  </si>
  <si>
    <t>Прогноз собственных доходов на 2020г.</t>
  </si>
  <si>
    <t>НП ндфл на 2020г. (=ПДпосел конс*Норм*(Бнпос/Бнконс пос)</t>
  </si>
  <si>
    <t>НП на 2020г.</t>
  </si>
  <si>
    <t>НП зем налог на 2020г.</t>
  </si>
  <si>
    <t>Всего дотации из местного бюджета на 2020г.</t>
  </si>
  <si>
    <t>Всего дотации из областного и местного бюджетов на 2020г.</t>
  </si>
  <si>
    <t>Всего собственных и дотаций 2020г. На 1 человека, руб.</t>
  </si>
  <si>
    <t>Всего налоговый потенциал, дотации на 2020г.</t>
  </si>
  <si>
    <t>Всего налоговый потенциал, дотации на 2020г. На 1 человека, руб.</t>
  </si>
  <si>
    <t>РФФПП 2020г.</t>
  </si>
  <si>
    <t>Прогнозные показатели дотации на выравнивание бюджетной обеспеченности  поселений Чердаклинского района на 2020-2022 годы</t>
  </si>
  <si>
    <t>НДФЛ план на 2020 год</t>
  </si>
  <si>
    <t>Зем налог план на 2020</t>
  </si>
  <si>
    <t>НИФЛ план на 2020</t>
  </si>
  <si>
    <t>степень отставания 0,039</t>
  </si>
  <si>
    <t>Расчет налогового потенциала на 2020 год</t>
  </si>
  <si>
    <t xml:space="preserve">Уровень расчетной бюджетной обеспеченности поселений, расположенных на территории муниципального образования «Чердаклинский район» Ульяновской области на 2020 год </t>
  </si>
  <si>
    <t>Расчет доходного потенциала поселений, расположенных на территории муниципального образования «Чердаклинский район» Ульяновской области на 2020 год</t>
  </si>
  <si>
    <t>Расчет индекса доходного потенциала на 2020 год</t>
  </si>
  <si>
    <t>Дотация из районного  фонда финансовой поддержки поселений на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</si>
</sst>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_-* #,##0_р_._-;\-* #,##0_р_._-;_-* &quot;-&quot;?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&quot;р.&quot;"/>
    <numFmt numFmtId="184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2" fillId="0" borderId="12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8" fillId="0" borderId="0" xfId="0" applyFont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72" fontId="0" fillId="0" borderId="14" xfId="0" applyNumberFormat="1" applyFill="1" applyBorder="1" applyAlignment="1">
      <alignment horizontal="center" wrapText="1"/>
    </xf>
    <xf numFmtId="172" fontId="2" fillId="0" borderId="14" xfId="0" applyNumberFormat="1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2" fontId="0" fillId="0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173" fontId="2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84" fontId="0" fillId="0" borderId="1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173" fontId="0" fillId="0" borderId="0" xfId="0" applyNumberFormat="1" applyAlignment="1">
      <alignment wrapText="1"/>
    </xf>
    <xf numFmtId="184" fontId="0" fillId="0" borderId="10" xfId="0" applyNumberFormat="1" applyBorder="1" applyAlignment="1">
      <alignment/>
    </xf>
    <xf numFmtId="184" fontId="2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/>
    </xf>
    <xf numFmtId="184" fontId="2" fillId="0" borderId="10" xfId="0" applyNumberFormat="1" applyFont="1" applyBorder="1" applyAlignment="1">
      <alignment wrapText="1"/>
    </xf>
    <xf numFmtId="2" fontId="0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2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O1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875" style="0" customWidth="1"/>
    <col min="2" max="2" width="23.25390625" style="0" customWidth="1"/>
    <col min="3" max="4" width="10.875" style="0" customWidth="1"/>
    <col min="5" max="5" width="9.875" style="0" customWidth="1"/>
    <col min="6" max="6" width="9.25390625" style="0" bestFit="1" customWidth="1"/>
    <col min="7" max="7" width="11.125" style="0" customWidth="1"/>
    <col min="8" max="8" width="10.875" style="0" customWidth="1"/>
    <col min="9" max="9" width="9.25390625" style="0" bestFit="1" customWidth="1"/>
    <col min="10" max="10" width="10.125" style="0" customWidth="1"/>
    <col min="12" max="12" width="13.25390625" style="0" customWidth="1"/>
    <col min="13" max="13" width="12.25390625" style="0" customWidth="1"/>
    <col min="14" max="14" width="11.875" style="0" bestFit="1" customWidth="1"/>
    <col min="15" max="15" width="9.25390625" style="19" bestFit="1" customWidth="1"/>
  </cols>
  <sheetData>
    <row r="3" spans="1:9" ht="18">
      <c r="A3" s="149" t="s">
        <v>166</v>
      </c>
      <c r="B3" s="149"/>
      <c r="C3" s="149"/>
      <c r="D3" s="149"/>
      <c r="E3" s="149"/>
      <c r="F3" s="149"/>
      <c r="G3" s="149"/>
      <c r="H3" s="149"/>
      <c r="I3" s="149"/>
    </row>
    <row r="5" spans="1:14" ht="12.75">
      <c r="A5" s="150" t="s">
        <v>0</v>
      </c>
      <c r="B5" s="151" t="s">
        <v>1</v>
      </c>
      <c r="C5" s="145" t="s">
        <v>94</v>
      </c>
      <c r="D5" s="145"/>
      <c r="E5" s="145"/>
      <c r="F5" s="145"/>
      <c r="G5" s="145" t="s">
        <v>95</v>
      </c>
      <c r="H5" s="145"/>
      <c r="I5" s="145"/>
      <c r="J5" s="145" t="s">
        <v>96</v>
      </c>
      <c r="K5" s="145"/>
      <c r="L5" s="145"/>
      <c r="M5" s="146" t="s">
        <v>142</v>
      </c>
      <c r="N5" s="148"/>
    </row>
    <row r="6" spans="1:15" ht="102">
      <c r="A6" s="150"/>
      <c r="B6" s="152"/>
      <c r="C6" s="11" t="s">
        <v>162</v>
      </c>
      <c r="D6" s="11" t="s">
        <v>137</v>
      </c>
      <c r="E6" s="11" t="s">
        <v>97</v>
      </c>
      <c r="F6" s="48" t="s">
        <v>152</v>
      </c>
      <c r="G6" s="48" t="s">
        <v>163</v>
      </c>
      <c r="H6" s="48" t="s">
        <v>97</v>
      </c>
      <c r="I6" s="48" t="s">
        <v>154</v>
      </c>
      <c r="J6" s="51" t="s">
        <v>164</v>
      </c>
      <c r="K6" s="48" t="s">
        <v>97</v>
      </c>
      <c r="L6" s="51" t="s">
        <v>153</v>
      </c>
      <c r="M6" s="146"/>
      <c r="N6" s="148"/>
      <c r="O6" s="45"/>
    </row>
    <row r="7" spans="1:14" ht="25.5">
      <c r="A7" s="3">
        <v>1</v>
      </c>
      <c r="B7" s="2" t="s">
        <v>3</v>
      </c>
      <c r="C7" s="141">
        <v>180000</v>
      </c>
      <c r="D7" s="50">
        <v>15</v>
      </c>
      <c r="E7" s="50">
        <f>C7/C17</f>
        <v>0.38027287959314177</v>
      </c>
      <c r="F7" s="52">
        <f>F17*E7</f>
        <v>16070.598082621886</v>
      </c>
      <c r="G7" s="70">
        <v>11200</v>
      </c>
      <c r="H7" s="52">
        <f>G7/G17</f>
        <v>0.237741456166419</v>
      </c>
      <c r="I7" s="70">
        <f>I17*H7</f>
        <v>12802.97176820208</v>
      </c>
      <c r="J7" s="52">
        <v>3180</v>
      </c>
      <c r="K7" s="52">
        <f>J7/J17</f>
        <v>0.40561224489795916</v>
      </c>
      <c r="L7" s="52">
        <f>L17*K7</f>
        <v>2987.2530612244896</v>
      </c>
      <c r="M7" s="15">
        <f>F7+I7+L7</f>
        <v>31860.822912048454</v>
      </c>
      <c r="N7" s="143"/>
    </row>
    <row r="8" spans="1:14" ht="25.5">
      <c r="A8" s="3">
        <v>2</v>
      </c>
      <c r="B8" s="2" t="s">
        <v>4</v>
      </c>
      <c r="C8" s="141">
        <v>41985.7</v>
      </c>
      <c r="D8" s="50">
        <v>7</v>
      </c>
      <c r="E8" s="50">
        <f>C8/C17</f>
        <v>0.0887001280040765</v>
      </c>
      <c r="F8" s="52">
        <f>F17*E8</f>
        <v>3748.529499541876</v>
      </c>
      <c r="G8" s="70">
        <v>1230</v>
      </c>
      <c r="H8" s="52">
        <f>G8/G17</f>
        <v>0.026109106346847804</v>
      </c>
      <c r="I8" s="70">
        <f>I17*H8</f>
        <v>1406.0406495436214</v>
      </c>
      <c r="J8" s="52">
        <v>1200</v>
      </c>
      <c r="K8" s="52">
        <f>J8/J17</f>
        <v>0.15306122448979592</v>
      </c>
      <c r="L8" s="52">
        <f>L17*K8</f>
        <v>1127.265306122449</v>
      </c>
      <c r="M8" s="15">
        <f aca="true" t="shared" si="0" ref="M8:M16">F8+I8+L8</f>
        <v>6281.835455207946</v>
      </c>
      <c r="N8" s="19"/>
    </row>
    <row r="9" spans="1:14" ht="25.5">
      <c r="A9" s="3">
        <v>3</v>
      </c>
      <c r="B9" s="2" t="s">
        <v>5</v>
      </c>
      <c r="C9" s="141">
        <v>6085.7</v>
      </c>
      <c r="D9" s="50">
        <v>7</v>
      </c>
      <c r="E9" s="50">
        <f>C9/C17</f>
        <v>0.012856814796333238</v>
      </c>
      <c r="F9" s="52">
        <f>F17*E9</f>
        <v>543.3379930634001</v>
      </c>
      <c r="G9" s="70">
        <v>1005</v>
      </c>
      <c r="H9" s="52">
        <f>G9/G17</f>
        <v>0.02133305030779028</v>
      </c>
      <c r="I9" s="70">
        <f>I17*H9</f>
        <v>1148.838091700276</v>
      </c>
      <c r="J9" s="52">
        <v>230</v>
      </c>
      <c r="K9" s="52">
        <f>J9/J17</f>
        <v>0.029336734693877552</v>
      </c>
      <c r="L9" s="52">
        <f>L17*K9</f>
        <v>216.0591836734694</v>
      </c>
      <c r="M9" s="15">
        <f t="shared" si="0"/>
        <v>1908.2352684371454</v>
      </c>
      <c r="N9" s="19"/>
    </row>
    <row r="10" spans="1:14" ht="25.5">
      <c r="A10" s="3">
        <v>4</v>
      </c>
      <c r="B10" s="2" t="s">
        <v>6</v>
      </c>
      <c r="C10" s="141">
        <v>6857.1</v>
      </c>
      <c r="D10" s="50">
        <v>7</v>
      </c>
      <c r="E10" s="50">
        <f>C10/C17</f>
        <v>0.014486495348100738</v>
      </c>
      <c r="F10" s="52">
        <f>F17*E10</f>
        <v>612.2094339574808</v>
      </c>
      <c r="G10" s="70">
        <v>6000</v>
      </c>
      <c r="H10" s="52">
        <f>G10/G17</f>
        <v>0.12736149437486732</v>
      </c>
      <c r="I10" s="70">
        <f>I17*H10</f>
        <v>6858.734875822543</v>
      </c>
      <c r="J10" s="52">
        <v>170</v>
      </c>
      <c r="K10" s="52">
        <f>J10/J17</f>
        <v>0.021683673469387755</v>
      </c>
      <c r="L10" s="52">
        <f>L17*K10</f>
        <v>159.69591836734693</v>
      </c>
      <c r="M10" s="15">
        <f t="shared" si="0"/>
        <v>7630.64022814737</v>
      </c>
      <c r="N10" s="19"/>
    </row>
    <row r="11" spans="1:14" ht="25.5">
      <c r="A11" s="3">
        <v>5</v>
      </c>
      <c r="B11" s="2" t="s">
        <v>7</v>
      </c>
      <c r="C11" s="141">
        <v>22071.4</v>
      </c>
      <c r="D11" s="50">
        <v>7</v>
      </c>
      <c r="E11" s="50">
        <f>C11/C17</f>
        <v>0.04662863797028928</v>
      </c>
      <c r="F11" s="52">
        <f>F17*E11</f>
        <v>1970.558880671004</v>
      </c>
      <c r="G11" s="70">
        <v>1372</v>
      </c>
      <c r="H11" s="52">
        <f>G11/G17</f>
        <v>0.02912332838038633</v>
      </c>
      <c r="I11" s="70">
        <f>I17*H11</f>
        <v>1568.364041604755</v>
      </c>
      <c r="J11" s="52">
        <v>225</v>
      </c>
      <c r="K11" s="52">
        <f>J11/J17</f>
        <v>0.028698979591836735</v>
      </c>
      <c r="L11" s="52">
        <f>L17*K11</f>
        <v>211.3622448979592</v>
      </c>
      <c r="M11" s="15">
        <f t="shared" si="0"/>
        <v>3750.285167173718</v>
      </c>
      <c r="N11" s="19"/>
    </row>
    <row r="12" spans="1:14" ht="25.5">
      <c r="A12" s="3">
        <v>6</v>
      </c>
      <c r="B12" s="2" t="s">
        <v>8</v>
      </c>
      <c r="C12" s="141">
        <v>7142.9</v>
      </c>
      <c r="D12" s="50">
        <v>7</v>
      </c>
      <c r="E12" s="50">
        <f>C12/C17</f>
        <v>0.01509028417581029</v>
      </c>
      <c r="F12" s="52">
        <f>F17*E12</f>
        <v>637.7259724686659</v>
      </c>
      <c r="G12" s="70">
        <v>3300</v>
      </c>
      <c r="H12" s="52">
        <f>G12/G17</f>
        <v>0.07004882190617703</v>
      </c>
      <c r="I12" s="70">
        <f>I17*H12</f>
        <v>3772.3041817023986</v>
      </c>
      <c r="J12" s="52">
        <v>385</v>
      </c>
      <c r="K12" s="52">
        <f>J12/J17</f>
        <v>0.049107142857142856</v>
      </c>
      <c r="L12" s="52">
        <f>L17*K12</f>
        <v>361.6642857142857</v>
      </c>
      <c r="M12" s="15">
        <f t="shared" si="0"/>
        <v>4771.69443988535</v>
      </c>
      <c r="N12" s="19"/>
    </row>
    <row r="13" spans="1:14" ht="25.5">
      <c r="A13" s="3">
        <v>7</v>
      </c>
      <c r="B13" s="2" t="s">
        <v>9</v>
      </c>
      <c r="C13" s="141">
        <v>8000</v>
      </c>
      <c r="D13" s="50">
        <v>7</v>
      </c>
      <c r="E13" s="50">
        <f>C13/C17</f>
        <v>0.0169010168708063</v>
      </c>
      <c r="F13" s="52">
        <f>F17*E13</f>
        <v>714.2488036720838</v>
      </c>
      <c r="G13" s="70">
        <v>2000</v>
      </c>
      <c r="H13" s="52">
        <f>G13/G17</f>
        <v>0.04245383145828911</v>
      </c>
      <c r="I13" s="70">
        <f>I17*H13</f>
        <v>2286.2449586075145</v>
      </c>
      <c r="J13" s="52">
        <v>345</v>
      </c>
      <c r="K13" s="52">
        <f>J13/J17</f>
        <v>0.04400510204081633</v>
      </c>
      <c r="L13" s="52">
        <f>L17*K13</f>
        <v>324.0887755102041</v>
      </c>
      <c r="M13" s="15">
        <f t="shared" si="0"/>
        <v>3324.5825377898022</v>
      </c>
      <c r="N13" s="19"/>
    </row>
    <row r="14" spans="1:14" ht="25.5">
      <c r="A14" s="3">
        <v>8</v>
      </c>
      <c r="B14" s="2" t="s">
        <v>10</v>
      </c>
      <c r="C14" s="141">
        <v>12630</v>
      </c>
      <c r="D14" s="50">
        <v>7</v>
      </c>
      <c r="E14" s="50">
        <f>C14/C17</f>
        <v>0.026682480384785448</v>
      </c>
      <c r="F14" s="52">
        <f>F17*E14</f>
        <v>1127.6202987973022</v>
      </c>
      <c r="G14" s="70">
        <v>1000</v>
      </c>
      <c r="H14" s="52">
        <f>G14/G17</f>
        <v>0.021226915729144556</v>
      </c>
      <c r="I14" s="70">
        <f>I17*H14</f>
        <v>1143.1224793037572</v>
      </c>
      <c r="J14" s="52">
        <v>101</v>
      </c>
      <c r="K14" s="52">
        <f>J14/J17</f>
        <v>0.01288265306122449</v>
      </c>
      <c r="L14" s="52">
        <f>L17*K14</f>
        <v>94.87816326530613</v>
      </c>
      <c r="M14" s="15">
        <f t="shared" si="0"/>
        <v>2365.6209413663655</v>
      </c>
      <c r="N14" s="19"/>
    </row>
    <row r="15" spans="1:14" ht="25.5">
      <c r="A15" s="3">
        <v>9</v>
      </c>
      <c r="B15" s="2" t="s">
        <v>11</v>
      </c>
      <c r="C15" s="141">
        <v>21428.6</v>
      </c>
      <c r="D15" s="50">
        <v>7</v>
      </c>
      <c r="E15" s="50">
        <f>C15/C17</f>
        <v>0.04527064126471999</v>
      </c>
      <c r="F15" s="52">
        <f>F17*E15</f>
        <v>1913.1689892959519</v>
      </c>
      <c r="G15" s="70">
        <v>4200</v>
      </c>
      <c r="H15" s="52">
        <f>G15/G17</f>
        <v>0.08915304606240713</v>
      </c>
      <c r="I15" s="70">
        <f>I17*H15</f>
        <v>4801.11441307578</v>
      </c>
      <c r="J15" s="52">
        <v>450</v>
      </c>
      <c r="K15" s="52">
        <f>J15/J17</f>
        <v>0.05739795918367347</v>
      </c>
      <c r="L15" s="52">
        <f>L17*K15</f>
        <v>422.7244897959184</v>
      </c>
      <c r="M15" s="15">
        <f t="shared" si="0"/>
        <v>7137.00789216765</v>
      </c>
      <c r="N15" s="19"/>
    </row>
    <row r="16" spans="1:14" ht="25.5">
      <c r="A16" s="4">
        <v>10</v>
      </c>
      <c r="B16" s="2" t="s">
        <v>12</v>
      </c>
      <c r="C16" s="141">
        <v>167142.9</v>
      </c>
      <c r="D16" s="50">
        <v>7</v>
      </c>
      <c r="E16" s="50">
        <f>C16/C17</f>
        <v>0.3531106215919363</v>
      </c>
      <c r="F16" s="52">
        <f>F17*E16</f>
        <v>14922.70204591034</v>
      </c>
      <c r="G16" s="70">
        <v>15803</v>
      </c>
      <c r="H16" s="52">
        <f>G16/G17</f>
        <v>0.3354489492676714</v>
      </c>
      <c r="I16" s="70">
        <f>I17*H16</f>
        <v>18064.764540437274</v>
      </c>
      <c r="J16" s="52">
        <v>1554</v>
      </c>
      <c r="K16" s="52">
        <f>J16/J17</f>
        <v>0.1982142857142857</v>
      </c>
      <c r="L16" s="52">
        <f>L17*K16</f>
        <v>1459.8085714285714</v>
      </c>
      <c r="M16" s="15">
        <f t="shared" si="0"/>
        <v>34447.27515777618</v>
      </c>
      <c r="N16" s="19"/>
    </row>
    <row r="17" spans="1:14" ht="12.75">
      <c r="A17" s="3"/>
      <c r="B17" s="11" t="s">
        <v>15</v>
      </c>
      <c r="C17" s="142">
        <f>C7+C8+C9+C10+C11+C12+C13+C14+C15+C16</f>
        <v>473344.30000000005</v>
      </c>
      <c r="D17" s="15"/>
      <c r="E17" s="15">
        <f aca="true" t="shared" si="1" ref="E17:K17">E7+E8+E9+E10+E11+E12+E13+E14+E15+E16</f>
        <v>0.9999999999999999</v>
      </c>
      <c r="F17" s="58">
        <v>42260.7</v>
      </c>
      <c r="G17" s="58">
        <f>G7+G8+G9+G10+G11+G12+G13+G14+G15+G16</f>
        <v>47110</v>
      </c>
      <c r="H17" s="58">
        <f t="shared" si="1"/>
        <v>1</v>
      </c>
      <c r="I17" s="58">
        <v>53852.5</v>
      </c>
      <c r="J17" s="58">
        <f t="shared" si="1"/>
        <v>7840</v>
      </c>
      <c r="K17" s="58">
        <f t="shared" si="1"/>
        <v>1</v>
      </c>
      <c r="L17" s="58">
        <v>7364.8</v>
      </c>
      <c r="M17" s="15">
        <f>F17+I17+L17</f>
        <v>103478</v>
      </c>
      <c r="N17" s="19"/>
    </row>
    <row r="18" spans="9:13" ht="12.75">
      <c r="I18" s="19"/>
      <c r="M18" s="19"/>
    </row>
    <row r="19" spans="1:13" ht="17.25" customHeight="1">
      <c r="A19" s="144"/>
      <c r="B19" s="144"/>
      <c r="C19" s="144"/>
      <c r="D19" s="122"/>
      <c r="E19" s="147"/>
      <c r="F19" s="147"/>
      <c r="G19" s="147"/>
      <c r="K19" s="147"/>
      <c r="L19" s="147"/>
      <c r="M19" s="147"/>
    </row>
    <row r="20" ht="40.5" customHeight="1"/>
    <row r="21" ht="40.5" customHeight="1"/>
  </sheetData>
  <sheetProtection/>
  <mergeCells count="11">
    <mergeCell ref="A3:I3"/>
    <mergeCell ref="A5:A6"/>
    <mergeCell ref="B5:B6"/>
    <mergeCell ref="C5:F5"/>
    <mergeCell ref="G5:I5"/>
    <mergeCell ref="A19:C19"/>
    <mergeCell ref="J5:L5"/>
    <mergeCell ref="M5:M6"/>
    <mergeCell ref="E19:G19"/>
    <mergeCell ref="K19:M19"/>
    <mergeCell ref="N5:N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8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625" style="0" customWidth="1"/>
    <col min="2" max="2" width="33.625" style="0" customWidth="1"/>
    <col min="3" max="3" width="11.875" style="40" customWidth="1"/>
    <col min="4" max="4" width="15.75390625" style="19" customWidth="1"/>
  </cols>
  <sheetData>
    <row r="2" spans="1:4" ht="39" customHeight="1">
      <c r="A2" s="153" t="s">
        <v>146</v>
      </c>
      <c r="B2" s="153"/>
      <c r="C2" s="153"/>
      <c r="D2" s="153"/>
    </row>
    <row r="3" spans="1:4" ht="12.75">
      <c r="A3" s="10"/>
      <c r="B3" s="10"/>
      <c r="C3" s="38"/>
      <c r="D3" s="71"/>
    </row>
    <row r="5" spans="1:6" ht="38.25">
      <c r="A5" s="2" t="s">
        <v>0</v>
      </c>
      <c r="B5" s="2" t="s">
        <v>1</v>
      </c>
      <c r="C5" s="39" t="s">
        <v>13</v>
      </c>
      <c r="D5" s="72" t="s">
        <v>112</v>
      </c>
      <c r="E5" s="83"/>
      <c r="F5" s="84"/>
    </row>
    <row r="6" spans="1:6" ht="25.5">
      <c r="A6" s="3">
        <v>1</v>
      </c>
      <c r="B6" s="2" t="s">
        <v>3</v>
      </c>
      <c r="C6" s="6">
        <f>'Коэф.масшт.'!C5</f>
        <v>12632</v>
      </c>
      <c r="D6" s="135">
        <f>C6*(D16/C16)</f>
        <v>4462.582610229277</v>
      </c>
      <c r="E6" s="84"/>
      <c r="F6" s="84"/>
    </row>
    <row r="7" spans="1:6" ht="12.75">
      <c r="A7" s="3">
        <v>2</v>
      </c>
      <c r="B7" s="2" t="s">
        <v>4</v>
      </c>
      <c r="C7" s="6">
        <f>'Коэф.масшт.'!C6</f>
        <v>7876</v>
      </c>
      <c r="D7" s="135">
        <f>C7*D16/C16</f>
        <v>2782.40188712522</v>
      </c>
      <c r="E7" s="84"/>
      <c r="F7" s="84"/>
    </row>
    <row r="8" spans="1:6" ht="12.75">
      <c r="A8" s="3">
        <v>3</v>
      </c>
      <c r="B8" s="2" t="s">
        <v>5</v>
      </c>
      <c r="C8" s="6">
        <f>'Коэф.масшт.'!C7</f>
        <v>1693</v>
      </c>
      <c r="D8" s="135">
        <f>C8*D16/C16</f>
        <v>598.0962918871252</v>
      </c>
      <c r="E8" s="84"/>
      <c r="F8" s="84"/>
    </row>
    <row r="9" spans="1:6" ht="12.75">
      <c r="A9" s="3">
        <v>4</v>
      </c>
      <c r="B9" s="2" t="s">
        <v>6</v>
      </c>
      <c r="C9" s="6">
        <f>'Коэф.масшт.'!C8</f>
        <v>1433</v>
      </c>
      <c r="D9" s="135">
        <f>C9*D16/C16</f>
        <v>506.2445282186949</v>
      </c>
      <c r="E9" s="84"/>
      <c r="F9" s="84"/>
    </row>
    <row r="10" spans="1:6" ht="12.75">
      <c r="A10" s="3">
        <v>5</v>
      </c>
      <c r="B10" s="2" t="s">
        <v>7</v>
      </c>
      <c r="C10" s="6">
        <f>'Коэф.масшт.'!C9</f>
        <v>2201</v>
      </c>
      <c r="D10" s="135">
        <f>C10*D16/C16</f>
        <v>777.5605070546737</v>
      </c>
      <c r="E10" s="84"/>
      <c r="F10" s="84"/>
    </row>
    <row r="11" spans="1:6" ht="12.75">
      <c r="A11" s="3">
        <v>6</v>
      </c>
      <c r="B11" s="2" t="s">
        <v>8</v>
      </c>
      <c r="C11" s="6">
        <f>'Коэф.масшт.'!C10</f>
        <v>2427</v>
      </c>
      <c r="D11" s="135">
        <f>C11*D16/C16</f>
        <v>857.4008862433861</v>
      </c>
      <c r="E11" s="84"/>
      <c r="F11" s="84"/>
    </row>
    <row r="12" spans="1:6" ht="12.75">
      <c r="A12" s="3">
        <v>7</v>
      </c>
      <c r="B12" s="2" t="s">
        <v>9</v>
      </c>
      <c r="C12" s="6">
        <f>'Коэф.масшт.'!C11</f>
        <v>3225</v>
      </c>
      <c r="D12" s="135">
        <f>C12*D16/C16</f>
        <v>1139.3151455026455</v>
      </c>
      <c r="E12" s="84"/>
      <c r="F12" s="84"/>
    </row>
    <row r="13" spans="1:6" ht="25.5">
      <c r="A13" s="3">
        <v>8</v>
      </c>
      <c r="B13" s="2" t="s">
        <v>10</v>
      </c>
      <c r="C13" s="6">
        <f>'Коэф.масшт.'!C12</f>
        <v>2486</v>
      </c>
      <c r="D13" s="135">
        <f>C13*D16/C16</f>
        <v>878.2441710758377</v>
      </c>
      <c r="E13" s="84"/>
      <c r="F13" s="84"/>
    </row>
    <row r="14" spans="1:6" ht="12.75">
      <c r="A14" s="3">
        <v>9</v>
      </c>
      <c r="B14" s="2" t="s">
        <v>11</v>
      </c>
      <c r="C14" s="6">
        <f>'Коэф.масшт.'!C13</f>
        <v>2709</v>
      </c>
      <c r="D14" s="135">
        <f>C14*D16/C16</f>
        <v>957.0247222222221</v>
      </c>
      <c r="E14" s="84"/>
      <c r="F14" s="84"/>
    </row>
    <row r="15" spans="1:6" ht="12.75">
      <c r="A15" s="4">
        <v>10</v>
      </c>
      <c r="B15" s="2" t="s">
        <v>12</v>
      </c>
      <c r="C15" s="6">
        <f>'Коэф.масшт.'!C14</f>
        <v>5276</v>
      </c>
      <c r="D15" s="135">
        <f>C15*D16/C16</f>
        <v>1863.884250440917</v>
      </c>
      <c r="E15" s="84"/>
      <c r="F15" s="84"/>
    </row>
    <row r="16" spans="1:6" ht="12.75">
      <c r="A16" s="3"/>
      <c r="B16" s="11" t="s">
        <v>15</v>
      </c>
      <c r="C16" s="24">
        <f>SUM(C6:C15)</f>
        <v>41958</v>
      </c>
      <c r="D16" s="136">
        <v>14822.755</v>
      </c>
      <c r="E16" s="85"/>
      <c r="F16" s="84"/>
    </row>
    <row r="17" spans="2:4" ht="12.75">
      <c r="B17" s="1"/>
      <c r="D17" s="137"/>
    </row>
    <row r="18" spans="2:4" ht="12.75">
      <c r="B18" s="1"/>
      <c r="C18" s="1"/>
      <c r="D18" s="8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X18"/>
  <sheetViews>
    <sheetView view="pageBreakPreview" zoomScale="77" zoomScaleNormal="85" zoomScaleSheetLayoutView="77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1" sqref="I31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2.25390625" style="0" customWidth="1"/>
    <col min="4" max="4" width="11.00390625" style="0" customWidth="1"/>
    <col min="5" max="5" width="12.75390625" style="19" customWidth="1"/>
    <col min="6" max="6" width="12.375" style="28" customWidth="1"/>
    <col min="7" max="7" width="12.00390625" style="35" customWidth="1"/>
    <col min="8" max="8" width="10.875" style="35" customWidth="1"/>
    <col min="9" max="9" width="16.125" style="0" customWidth="1"/>
    <col min="10" max="10" width="11.25390625" style="95" customWidth="1"/>
    <col min="11" max="11" width="11.125" style="47" customWidth="1"/>
    <col min="12" max="12" width="13.375" style="47" customWidth="1"/>
    <col min="13" max="13" width="16.75390625" style="47" customWidth="1"/>
    <col min="14" max="14" width="13.875" style="47" customWidth="1"/>
    <col min="15" max="15" width="13.125" style="32" customWidth="1"/>
    <col min="16" max="16" width="0.2421875" style="32" hidden="1" customWidth="1"/>
    <col min="17" max="17" width="9.25390625" style="80" hidden="1" customWidth="1"/>
    <col min="18" max="18" width="12.75390625" style="99" customWidth="1"/>
    <col min="19" max="19" width="9.75390625" style="95" customWidth="1"/>
    <col min="20" max="21" width="11.25390625" style="95" customWidth="1"/>
    <col min="22" max="22" width="10.875" style="95" customWidth="1"/>
    <col min="23" max="23" width="11.25390625" style="47" customWidth="1"/>
    <col min="24" max="24" width="10.625" style="95" customWidth="1"/>
  </cols>
  <sheetData>
    <row r="1" spans="1:22" ht="54" customHeight="1">
      <c r="A1" s="158" t="s">
        <v>149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74"/>
      <c r="O1" s="82"/>
      <c r="P1" s="82"/>
      <c r="Q1" s="103"/>
      <c r="R1" s="94"/>
      <c r="S1" s="94"/>
      <c r="T1" s="94"/>
      <c r="U1" s="94"/>
      <c r="V1" s="94"/>
    </row>
    <row r="2" spans="15:17" ht="1.5" customHeight="1">
      <c r="O2" s="28"/>
      <c r="P2" s="28"/>
      <c r="Q2" s="130"/>
    </row>
    <row r="3" spans="1:24" ht="174" customHeight="1">
      <c r="A3" s="2" t="s">
        <v>0</v>
      </c>
      <c r="B3" s="2" t="s">
        <v>1</v>
      </c>
      <c r="C3" s="29" t="s">
        <v>13</v>
      </c>
      <c r="D3" s="29" t="s">
        <v>150</v>
      </c>
      <c r="E3" s="26" t="s">
        <v>151</v>
      </c>
      <c r="F3" s="27" t="s">
        <v>92</v>
      </c>
      <c r="G3" s="42" t="s">
        <v>89</v>
      </c>
      <c r="H3" s="42" t="s">
        <v>105</v>
      </c>
      <c r="I3" s="2" t="s">
        <v>117</v>
      </c>
      <c r="J3" s="48" t="s">
        <v>100</v>
      </c>
      <c r="K3" s="116" t="s">
        <v>120</v>
      </c>
      <c r="L3" s="42" t="s">
        <v>125</v>
      </c>
      <c r="M3" s="2" t="s">
        <v>106</v>
      </c>
      <c r="N3" s="11" t="s">
        <v>110</v>
      </c>
      <c r="O3" s="27" t="s">
        <v>155</v>
      </c>
      <c r="P3" s="27" t="s">
        <v>139</v>
      </c>
      <c r="Q3" s="131" t="s">
        <v>140</v>
      </c>
      <c r="R3" s="57" t="s">
        <v>156</v>
      </c>
      <c r="S3" s="48">
        <v>2019</v>
      </c>
      <c r="T3" s="48" t="s">
        <v>126</v>
      </c>
      <c r="U3" s="120" t="s">
        <v>135</v>
      </c>
      <c r="V3" s="48" t="s">
        <v>157</v>
      </c>
      <c r="W3" s="96" t="s">
        <v>158</v>
      </c>
      <c r="X3" s="96" t="s">
        <v>159</v>
      </c>
    </row>
    <row r="4" spans="1:24" ht="12.75">
      <c r="A4" s="18">
        <v>1</v>
      </c>
      <c r="B4" s="18">
        <v>2</v>
      </c>
      <c r="C4" s="18">
        <v>3</v>
      </c>
      <c r="D4" s="18"/>
      <c r="E4" s="44">
        <v>4</v>
      </c>
      <c r="F4" s="133" t="s">
        <v>93</v>
      </c>
      <c r="G4" s="44">
        <v>5</v>
      </c>
      <c r="H4" s="44">
        <v>6</v>
      </c>
      <c r="I4" s="18">
        <v>7</v>
      </c>
      <c r="J4" s="67">
        <v>8</v>
      </c>
      <c r="K4" s="37"/>
      <c r="L4" s="37"/>
      <c r="M4" s="37"/>
      <c r="N4" s="37"/>
      <c r="O4" s="69"/>
      <c r="P4" s="69"/>
      <c r="Q4" s="132"/>
      <c r="R4" s="111"/>
      <c r="S4" s="67"/>
      <c r="T4" s="98"/>
      <c r="U4" s="98"/>
      <c r="V4" s="98"/>
      <c r="W4" s="4"/>
      <c r="X4" s="98"/>
    </row>
    <row r="5" spans="1:24" ht="23.25" customHeight="1">
      <c r="A5" s="3">
        <v>1</v>
      </c>
      <c r="B5" s="2" t="s">
        <v>3</v>
      </c>
      <c r="C5" s="6">
        <f>'Коэф.масшт.'!C5</f>
        <v>12632</v>
      </c>
      <c r="D5" s="6">
        <f>'Налоговый потен'!M7</f>
        <v>31860.822912048454</v>
      </c>
      <c r="E5" s="8">
        <v>45938.1</v>
      </c>
      <c r="F5" s="20">
        <f>'субв от числ уточ'!D6</f>
        <v>4462.582610229277</v>
      </c>
      <c r="G5" s="5">
        <f>ИБР!S7</f>
        <v>1.161602851050713</v>
      </c>
      <c r="H5" s="5">
        <f>БО!D6</f>
        <v>0.8779788119339125</v>
      </c>
      <c r="I5" s="8"/>
      <c r="J5" s="58"/>
      <c r="K5" s="92">
        <f>БО!G6</f>
        <v>0.8625639628849322</v>
      </c>
      <c r="L5" s="90">
        <f aca="true" t="shared" si="0" ref="L5:L14">E5+F5+J5</f>
        <v>50400.682610229276</v>
      </c>
      <c r="M5" s="58"/>
      <c r="N5" s="63"/>
      <c r="O5" s="20">
        <f aca="true" t="shared" si="1" ref="O5:O14">J5+N5</f>
        <v>0</v>
      </c>
      <c r="P5" s="15">
        <v>0</v>
      </c>
      <c r="Q5" s="50">
        <f aca="true" t="shared" si="2" ref="Q5:Q14">O5-P5</f>
        <v>0</v>
      </c>
      <c r="R5" s="63">
        <f aca="true" t="shared" si="3" ref="R5:R14">F5+O5</f>
        <v>4462.582610229277</v>
      </c>
      <c r="S5" s="58">
        <v>4169.08</v>
      </c>
      <c r="T5" s="70">
        <f aca="true" t="shared" si="4" ref="T5:T15">R5-S5</f>
        <v>293.5026102292768</v>
      </c>
      <c r="U5" s="70">
        <f>E5+R5</f>
        <v>50400.682610229276</v>
      </c>
      <c r="V5" s="58">
        <f aca="true" t="shared" si="5" ref="V5:V15">U5/C5*1000</f>
        <v>3989.9210426083973</v>
      </c>
      <c r="W5" s="52">
        <f aca="true" t="shared" si="6" ref="W5:W14">D5+R5</f>
        <v>36323.40552227773</v>
      </c>
      <c r="X5" s="58">
        <f aca="true" t="shared" si="7" ref="X5:X15">W5/C5*1000</f>
        <v>2875.507086944089</v>
      </c>
    </row>
    <row r="6" spans="1:24" ht="39.75" customHeight="1">
      <c r="A6" s="3">
        <v>2</v>
      </c>
      <c r="B6" s="2" t="s">
        <v>4</v>
      </c>
      <c r="C6" s="6">
        <f>'Коэф.масшт.'!C6</f>
        <v>7876</v>
      </c>
      <c r="D6" s="6">
        <f>'Налоговый потен'!M8</f>
        <v>6281.835455207946</v>
      </c>
      <c r="E6" s="8">
        <v>6239</v>
      </c>
      <c r="F6" s="20">
        <f>'субв от числ уточ'!D7</f>
        <v>2782.40188712522</v>
      </c>
      <c r="G6" s="5">
        <f>ИБР!S8</f>
        <v>1.270457719654647</v>
      </c>
      <c r="H6" s="5">
        <f>БО!D7</f>
        <v>0.32128659590765346</v>
      </c>
      <c r="I6" s="8">
        <f>(E15/C15)*(H16-H6)*G6*C6</f>
        <v>10497.17280779354</v>
      </c>
      <c r="J6" s="63">
        <f>I6*0.039</f>
        <v>409.3897395039481</v>
      </c>
      <c r="K6" s="92">
        <f>БО!G7</f>
        <v>0.32990196175246134</v>
      </c>
      <c r="L6" s="90">
        <f t="shared" si="0"/>
        <v>9430.791626629167</v>
      </c>
      <c r="M6" s="58">
        <f>(L15/C15)*(K16-K6)*G6*C6</f>
        <v>2.985650406190451</v>
      </c>
      <c r="N6" s="63">
        <f>(4000-J15)*M6/M15</f>
        <v>0.678490910292092</v>
      </c>
      <c r="O6" s="20">
        <f t="shared" si="1"/>
        <v>410.0682304142402</v>
      </c>
      <c r="P6" s="15">
        <v>241.34851528354503</v>
      </c>
      <c r="Q6" s="50">
        <f t="shared" si="2"/>
        <v>168.71971513069516</v>
      </c>
      <c r="R6" s="63">
        <f t="shared" si="3"/>
        <v>3192.4701175394603</v>
      </c>
      <c r="S6" s="58">
        <v>2878.67</v>
      </c>
      <c r="T6" s="70">
        <f t="shared" si="4"/>
        <v>313.8001175394602</v>
      </c>
      <c r="U6" s="70">
        <f aca="true" t="shared" si="8" ref="U6:U15">E6+R6</f>
        <v>9431.47011753946</v>
      </c>
      <c r="V6" s="58">
        <f t="shared" si="5"/>
        <v>1197.494936203588</v>
      </c>
      <c r="W6" s="52">
        <f t="shared" si="6"/>
        <v>9474.305572747406</v>
      </c>
      <c r="X6" s="58">
        <f t="shared" si="7"/>
        <v>1202.93366845447</v>
      </c>
    </row>
    <row r="7" spans="1:24" ht="42" customHeight="1">
      <c r="A7" s="3">
        <v>3</v>
      </c>
      <c r="B7" s="2" t="s">
        <v>5</v>
      </c>
      <c r="C7" s="6">
        <f>'Коэф.масшт.'!C7</f>
        <v>1693</v>
      </c>
      <c r="D7" s="6">
        <f>'Налоговый потен'!M9</f>
        <v>1908.2352684371454</v>
      </c>
      <c r="E7" s="8">
        <v>1959.2</v>
      </c>
      <c r="F7" s="20">
        <f>'субв от числ уточ'!D8</f>
        <v>598.0962918871252</v>
      </c>
      <c r="G7" s="5">
        <f>ИБР!S9</f>
        <v>4.278398585280198</v>
      </c>
      <c r="H7" s="5">
        <f>БО!D8</f>
        <v>0.12272345831977287</v>
      </c>
      <c r="I7" s="8">
        <f>(E15/C15)*(H16-H7)*G7*C7</f>
        <v>11395.601879129374</v>
      </c>
      <c r="J7" s="63">
        <f aca="true" t="shared" si="9" ref="J7:J13">I7*0.039</f>
        <v>444.4284732860456</v>
      </c>
      <c r="K7" s="92">
        <f>БО!G8</f>
        <v>0.14194831096282406</v>
      </c>
      <c r="L7" s="90">
        <f t="shared" si="0"/>
        <v>3001.724765173171</v>
      </c>
      <c r="M7" s="58">
        <f>(L15/C15)*(K16-K7)*G7*C7</f>
        <v>4145.652823211914</v>
      </c>
      <c r="N7" s="63">
        <f>(4000-J15)*M7/M15</f>
        <v>942.1021804642618</v>
      </c>
      <c r="O7" s="20">
        <f t="shared" si="1"/>
        <v>1386.5306537503075</v>
      </c>
      <c r="P7" s="15">
        <v>941.1911940223606</v>
      </c>
      <c r="Q7" s="50">
        <f t="shared" si="2"/>
        <v>445.33945972794686</v>
      </c>
      <c r="R7" s="63">
        <f t="shared" si="3"/>
        <v>1984.6269456374325</v>
      </c>
      <c r="S7" s="58">
        <v>1988.65</v>
      </c>
      <c r="T7" s="70">
        <f t="shared" si="4"/>
        <v>-4.023054362567564</v>
      </c>
      <c r="U7" s="70">
        <f t="shared" si="8"/>
        <v>3943.826945637433</v>
      </c>
      <c r="V7" s="58">
        <f t="shared" si="5"/>
        <v>2329.490221876806</v>
      </c>
      <c r="W7" s="52">
        <f t="shared" si="6"/>
        <v>3892.862214074578</v>
      </c>
      <c r="X7" s="58">
        <f t="shared" si="7"/>
        <v>2299.387013629402</v>
      </c>
    </row>
    <row r="8" spans="1:24" ht="36" customHeight="1">
      <c r="A8" s="3">
        <v>4</v>
      </c>
      <c r="B8" s="2" t="s">
        <v>6</v>
      </c>
      <c r="C8" s="6">
        <f>'Коэф.масшт.'!C8</f>
        <v>1433</v>
      </c>
      <c r="D8" s="6">
        <f>'Налоговый потен'!M10</f>
        <v>7630.64022814737</v>
      </c>
      <c r="E8" s="8">
        <v>6799</v>
      </c>
      <c r="F8" s="20">
        <f>'субв от числ уточ'!D9</f>
        <v>506.2445282186949</v>
      </c>
      <c r="G8" s="5">
        <f>ИБР!S10</f>
        <v>3.9841264301121315</v>
      </c>
      <c r="H8" s="5">
        <f>БО!D9</f>
        <v>0.5054825007002332</v>
      </c>
      <c r="I8" s="8">
        <f>(E15/C15)*(H16-H8)*G8*C8</f>
        <v>3213.2944644738004</v>
      </c>
      <c r="J8" s="63">
        <f t="shared" si="9"/>
        <v>125.31848411447821</v>
      </c>
      <c r="K8" s="92">
        <f>БО!G9</f>
        <v>0.5042560396887221</v>
      </c>
      <c r="L8" s="90">
        <f t="shared" si="0"/>
        <v>7430.563012333173</v>
      </c>
      <c r="M8" s="58"/>
      <c r="N8" s="63">
        <f>(4000-J15)*M8/M15</f>
        <v>0</v>
      </c>
      <c r="O8" s="20">
        <f t="shared" si="1"/>
        <v>125.31848411447821</v>
      </c>
      <c r="P8" s="15">
        <v>125.43453098840365</v>
      </c>
      <c r="Q8" s="50">
        <f t="shared" si="2"/>
        <v>-0.11604687392544122</v>
      </c>
      <c r="R8" s="63">
        <f t="shared" si="3"/>
        <v>631.5630123331731</v>
      </c>
      <c r="S8" s="58">
        <v>608.46</v>
      </c>
      <c r="T8" s="70">
        <f t="shared" si="4"/>
        <v>23.10301233317307</v>
      </c>
      <c r="U8" s="70">
        <f t="shared" si="8"/>
        <v>7430.563012333173</v>
      </c>
      <c r="V8" s="58">
        <f t="shared" si="5"/>
        <v>5185.319617817985</v>
      </c>
      <c r="W8" s="52">
        <f t="shared" si="6"/>
        <v>8262.203240480543</v>
      </c>
      <c r="X8" s="58">
        <f t="shared" si="7"/>
        <v>5765.6686953807</v>
      </c>
    </row>
    <row r="9" spans="1:24" ht="25.5">
      <c r="A9" s="3">
        <v>5</v>
      </c>
      <c r="B9" s="2" t="s">
        <v>7</v>
      </c>
      <c r="C9" s="6">
        <f>'Коэф.масшт.'!C9</f>
        <v>2201</v>
      </c>
      <c r="D9" s="6">
        <f>'Налоговый потен'!M11</f>
        <v>3750.285167173718</v>
      </c>
      <c r="E9" s="8">
        <v>4363.7</v>
      </c>
      <c r="F9" s="20">
        <f>'субв от числ уточ'!D10</f>
        <v>777.5605070546737</v>
      </c>
      <c r="G9" s="5">
        <f>ИБР!S11</f>
        <v>2.6045797853014188</v>
      </c>
      <c r="H9" s="5">
        <f>БО!D10</f>
        <v>0.2801309991169882</v>
      </c>
      <c r="I9" s="8">
        <f>(E15/C15)*(H16-H9)*G9*C9</f>
        <v>6636.838330962134</v>
      </c>
      <c r="J9" s="63">
        <f t="shared" si="9"/>
        <v>258.8366949075232</v>
      </c>
      <c r="K9" s="92">
        <f>БО!G10</f>
        <v>0.29094536204719995</v>
      </c>
      <c r="L9" s="90">
        <f t="shared" si="0"/>
        <v>5400.097201962197</v>
      </c>
      <c r="M9" s="58">
        <f>(L15/C15)*(K16-K9)*G9*C9</f>
        <v>681.4089210152223</v>
      </c>
      <c r="N9" s="63">
        <f>(4000-J15)*M9/M15</f>
        <v>154.85060077434895</v>
      </c>
      <c r="O9" s="20">
        <f t="shared" si="1"/>
        <v>413.6872956818722</v>
      </c>
      <c r="P9" s="15">
        <v>541.2806891713745</v>
      </c>
      <c r="Q9" s="50">
        <f t="shared" si="2"/>
        <v>-127.59339348950238</v>
      </c>
      <c r="R9" s="63">
        <f t="shared" si="3"/>
        <v>1191.247802736546</v>
      </c>
      <c r="S9" s="58">
        <v>918.46</v>
      </c>
      <c r="T9" s="70">
        <f t="shared" si="4"/>
        <v>272.7878027365459</v>
      </c>
      <c r="U9" s="70">
        <f t="shared" si="8"/>
        <v>5554.947802736546</v>
      </c>
      <c r="V9" s="58">
        <f t="shared" si="5"/>
        <v>2523.8290789352777</v>
      </c>
      <c r="W9" s="52">
        <f t="shared" si="6"/>
        <v>4941.532969910264</v>
      </c>
      <c r="X9" s="58">
        <f t="shared" si="7"/>
        <v>2245.130835942873</v>
      </c>
    </row>
    <row r="10" spans="1:24" ht="35.25" customHeight="1">
      <c r="A10" s="3">
        <v>6</v>
      </c>
      <c r="B10" s="2" t="s">
        <v>8</v>
      </c>
      <c r="C10" s="6">
        <f>'Коэф.масшт.'!C10</f>
        <v>2427</v>
      </c>
      <c r="D10" s="6">
        <f>'Налоговый потен'!M12</f>
        <v>4771.69443988535</v>
      </c>
      <c r="E10" s="52">
        <v>4186.9</v>
      </c>
      <c r="F10" s="20">
        <f>'субв от числ уточ'!D11</f>
        <v>857.4008862433861</v>
      </c>
      <c r="G10" s="5">
        <f>ИБР!S12</f>
        <v>2.0616308690166862</v>
      </c>
      <c r="H10" s="5">
        <f>БО!D11</f>
        <v>0.39901128700929434</v>
      </c>
      <c r="I10" s="8">
        <f>(E15/C15)*(H16-H10)*G10*C10</f>
        <v>4222.479289493512</v>
      </c>
      <c r="J10" s="63">
        <f t="shared" si="9"/>
        <v>164.67669229024696</v>
      </c>
      <c r="K10" s="92">
        <f>БО!G11</f>
        <v>0.40347372147843114</v>
      </c>
      <c r="L10" s="90">
        <f t="shared" si="0"/>
        <v>5208.977578533632</v>
      </c>
      <c r="M10" s="58"/>
      <c r="N10" s="63">
        <f>(4000-J15)*M10/M15</f>
        <v>0</v>
      </c>
      <c r="O10" s="20">
        <f t="shared" si="1"/>
        <v>164.67669229024696</v>
      </c>
      <c r="P10" s="15">
        <v>108.70195746812571</v>
      </c>
      <c r="Q10" s="50">
        <f t="shared" si="2"/>
        <v>55.97473482212125</v>
      </c>
      <c r="R10" s="63">
        <f t="shared" si="3"/>
        <v>1022.0775785336331</v>
      </c>
      <c r="S10" s="58">
        <v>955.19</v>
      </c>
      <c r="T10" s="70">
        <f t="shared" si="4"/>
        <v>66.88757853363302</v>
      </c>
      <c r="U10" s="70">
        <f t="shared" si="8"/>
        <v>5208.977578533632</v>
      </c>
      <c r="V10" s="58">
        <f t="shared" si="5"/>
        <v>2146.261878258604</v>
      </c>
      <c r="W10" s="52">
        <f t="shared" si="6"/>
        <v>5793.772018418983</v>
      </c>
      <c r="X10" s="58">
        <f t="shared" si="7"/>
        <v>2387.2154999666186</v>
      </c>
    </row>
    <row r="11" spans="1:24" ht="39.75" customHeight="1">
      <c r="A11" s="3">
        <v>7</v>
      </c>
      <c r="B11" s="2" t="s">
        <v>9</v>
      </c>
      <c r="C11" s="6">
        <f>'Коэф.масшт.'!C11</f>
        <v>3225</v>
      </c>
      <c r="D11" s="6">
        <f>'Налоговый потен'!M13</f>
        <v>3324.5825377898022</v>
      </c>
      <c r="E11" s="8">
        <v>3033</v>
      </c>
      <c r="F11" s="20">
        <f>'субв от числ уточ'!D12</f>
        <v>1139.3151455026455</v>
      </c>
      <c r="G11" s="5">
        <f>ИБР!S13</f>
        <v>2.2300698482499133</v>
      </c>
      <c r="H11" s="5">
        <f>БО!D12</f>
        <v>0.2201371345411943</v>
      </c>
      <c r="I11" s="8">
        <f>(E15/C15)*(H16-H11)*G11*C11</f>
        <v>9465.328090480763</v>
      </c>
      <c r="J11" s="63">
        <f t="shared" si="9"/>
        <v>369.1477955287498</v>
      </c>
      <c r="K11" s="92">
        <f>БО!G12</f>
        <v>0.234157047715649</v>
      </c>
      <c r="L11" s="90">
        <f t="shared" si="0"/>
        <v>4541.4629410313955</v>
      </c>
      <c r="M11" s="58">
        <f>(L15/C15)*(K16-K11)*G11*C11</f>
        <v>2097.9051959055446</v>
      </c>
      <c r="N11" s="63">
        <f>(4000-J15)*M11/M15</f>
        <v>476.75025954986666</v>
      </c>
      <c r="O11" s="63">
        <f t="shared" si="1"/>
        <v>845.8980550786164</v>
      </c>
      <c r="P11" s="15">
        <v>541.9637901983019</v>
      </c>
      <c r="Q11" s="50">
        <f t="shared" si="2"/>
        <v>303.93426488031446</v>
      </c>
      <c r="R11" s="63">
        <f t="shared" si="3"/>
        <v>1985.2132005812618</v>
      </c>
      <c r="S11" s="58">
        <v>2119.26</v>
      </c>
      <c r="T11" s="70">
        <f t="shared" si="4"/>
        <v>-134.04679941873837</v>
      </c>
      <c r="U11" s="70">
        <f t="shared" si="8"/>
        <v>5018.213200581262</v>
      </c>
      <c r="V11" s="58">
        <f t="shared" si="5"/>
        <v>1556.0351009554302</v>
      </c>
      <c r="W11" s="52">
        <f t="shared" si="6"/>
        <v>5309.795738371064</v>
      </c>
      <c r="X11" s="58">
        <f t="shared" si="7"/>
        <v>1646.4482909677715</v>
      </c>
    </row>
    <row r="12" spans="1:24" ht="36" customHeight="1">
      <c r="A12" s="3">
        <v>8</v>
      </c>
      <c r="B12" s="2" t="s">
        <v>10</v>
      </c>
      <c r="C12" s="6">
        <f>'Коэф.масшт.'!C12</f>
        <v>2486</v>
      </c>
      <c r="D12" s="6">
        <f>'Налоговый потен'!M14</f>
        <v>2365.6209413663655</v>
      </c>
      <c r="E12" s="8">
        <v>2414.6</v>
      </c>
      <c r="F12" s="20">
        <f>'субв от числ уточ'!D13</f>
        <v>878.2441710758377</v>
      </c>
      <c r="G12" s="5">
        <f>ИБР!S14</f>
        <v>2.0354330269067744</v>
      </c>
      <c r="H12" s="5">
        <f>БО!D13</f>
        <v>0.22736944821360136</v>
      </c>
      <c r="I12" s="8">
        <f>(E15/C15)*(H16-H12)*G12*C12</f>
        <v>6562.949466086584</v>
      </c>
      <c r="J12" s="63">
        <f t="shared" si="9"/>
        <v>255.9550291773768</v>
      </c>
      <c r="K12" s="92">
        <f>БО!G13</f>
        <v>0.24100292945834204</v>
      </c>
      <c r="L12" s="90">
        <f t="shared" si="0"/>
        <v>3548.799200253214</v>
      </c>
      <c r="M12" s="58">
        <f>(L15/C15)*(K16-K12)*G12*C12</f>
        <v>1370.6013135021283</v>
      </c>
      <c r="N12" s="63">
        <f>(4000-J15)*M12/M15</f>
        <v>311.4700002778142</v>
      </c>
      <c r="O12" s="20">
        <f t="shared" si="1"/>
        <v>567.425029455191</v>
      </c>
      <c r="P12" s="15">
        <v>400.6436276232705</v>
      </c>
      <c r="Q12" s="50">
        <f t="shared" si="2"/>
        <v>166.78140183192045</v>
      </c>
      <c r="R12" s="63">
        <f t="shared" si="3"/>
        <v>1445.6692005310288</v>
      </c>
      <c r="S12" s="58">
        <v>1497.39</v>
      </c>
      <c r="T12" s="70">
        <f t="shared" si="4"/>
        <v>-51.720799468971336</v>
      </c>
      <c r="U12" s="70">
        <f t="shared" si="8"/>
        <v>3860.2692005310287</v>
      </c>
      <c r="V12" s="58">
        <f t="shared" si="5"/>
        <v>1552.8033791355706</v>
      </c>
      <c r="W12" s="52">
        <f t="shared" si="6"/>
        <v>3811.2901418973943</v>
      </c>
      <c r="X12" s="58">
        <f t="shared" si="7"/>
        <v>1533.1014247374876</v>
      </c>
    </row>
    <row r="13" spans="1:24" ht="38.25" customHeight="1">
      <c r="A13" s="3">
        <v>9</v>
      </c>
      <c r="B13" s="2" t="s">
        <v>11</v>
      </c>
      <c r="C13" s="6">
        <f>'Коэф.масшт.'!C13</f>
        <v>2709</v>
      </c>
      <c r="D13" s="6">
        <f>'Налоговый потен'!M15</f>
        <v>7137.00789216765</v>
      </c>
      <c r="E13" s="8">
        <v>6150</v>
      </c>
      <c r="F13" s="20">
        <f>'субв от числ уточ'!D14</f>
        <v>957.0247222222221</v>
      </c>
      <c r="G13" s="5">
        <f>ИБР!S15</f>
        <v>1.9055232558139537</v>
      </c>
      <c r="H13" s="5">
        <f>БО!D14</f>
        <v>0.5561205631007319</v>
      </c>
      <c r="I13" s="8">
        <f>(E15/C15)*(H16-H13)*G13*C13</f>
        <v>2215.2707491037786</v>
      </c>
      <c r="J13" s="63">
        <f t="shared" si="9"/>
        <v>86.39555921504737</v>
      </c>
      <c r="K13" s="92">
        <f>БО!G14</f>
        <v>0.5521884445283408</v>
      </c>
      <c r="L13" s="90">
        <f t="shared" si="0"/>
        <v>7193.42028143727</v>
      </c>
      <c r="M13" s="58"/>
      <c r="N13" s="63">
        <f>(5400-J15)*M13/M15</f>
        <v>0</v>
      </c>
      <c r="O13" s="20">
        <f t="shared" si="1"/>
        <v>86.39555921504737</v>
      </c>
      <c r="P13" s="15">
        <v>99.43569524461826</v>
      </c>
      <c r="Q13" s="50">
        <f t="shared" si="2"/>
        <v>-13.040136029570888</v>
      </c>
      <c r="R13" s="63">
        <f t="shared" si="3"/>
        <v>1043.4202814372695</v>
      </c>
      <c r="S13" s="58">
        <v>1013.13</v>
      </c>
      <c r="T13" s="70">
        <f t="shared" si="4"/>
        <v>30.290281437269527</v>
      </c>
      <c r="U13" s="70">
        <f t="shared" si="8"/>
        <v>7193.420281437269</v>
      </c>
      <c r="V13" s="58">
        <f t="shared" si="5"/>
        <v>2655.3784722913506</v>
      </c>
      <c r="W13" s="52">
        <f t="shared" si="6"/>
        <v>8180.42817360492</v>
      </c>
      <c r="X13" s="58">
        <f t="shared" si="7"/>
        <v>3019.7224708766776</v>
      </c>
    </row>
    <row r="14" spans="1:24" ht="36" customHeight="1">
      <c r="A14" s="4">
        <v>10</v>
      </c>
      <c r="B14" s="2" t="s">
        <v>12</v>
      </c>
      <c r="C14" s="6">
        <f>'Коэф.масшт.'!C14</f>
        <v>5276</v>
      </c>
      <c r="D14" s="6">
        <f>'Налоговый потен'!M16</f>
        <v>34447.27515777618</v>
      </c>
      <c r="E14" s="8">
        <v>29680</v>
      </c>
      <c r="F14" s="20">
        <f>'субв от числ уточ'!D15</f>
        <v>1863.884250440917</v>
      </c>
      <c r="G14" s="5">
        <f>ИБР!S16</f>
        <v>1.475892459976695</v>
      </c>
      <c r="H14" s="5">
        <f>БО!D15</f>
        <v>1.6538947837408073</v>
      </c>
      <c r="I14" s="8"/>
      <c r="J14" s="63"/>
      <c r="K14" s="92">
        <f>БО!G15</f>
        <v>1.624857023275832</v>
      </c>
      <c r="L14" s="90">
        <f t="shared" si="0"/>
        <v>31543.88425044092</v>
      </c>
      <c r="M14" s="58"/>
      <c r="N14" s="63"/>
      <c r="O14" s="20">
        <f t="shared" si="1"/>
        <v>0</v>
      </c>
      <c r="P14" s="15">
        <v>0</v>
      </c>
      <c r="Q14" s="50">
        <f t="shared" si="2"/>
        <v>0</v>
      </c>
      <c r="R14" s="63">
        <f t="shared" si="3"/>
        <v>1863.884250440917</v>
      </c>
      <c r="S14" s="58">
        <v>1530.72</v>
      </c>
      <c r="T14" s="70">
        <f t="shared" si="4"/>
        <v>333.16425044091693</v>
      </c>
      <c r="U14" s="70">
        <f t="shared" si="8"/>
        <v>31543.88425044092</v>
      </c>
      <c r="V14" s="58">
        <f t="shared" si="5"/>
        <v>5978.749857930424</v>
      </c>
      <c r="W14" s="52">
        <f t="shared" si="6"/>
        <v>36311.1594082171</v>
      </c>
      <c r="X14" s="58">
        <f t="shared" si="7"/>
        <v>6882.32740868406</v>
      </c>
    </row>
    <row r="15" spans="1:24" ht="12.75">
      <c r="A15" s="3"/>
      <c r="B15" s="11" t="s">
        <v>15</v>
      </c>
      <c r="C15" s="15">
        <f>SUM(C5:C14)</f>
        <v>41958</v>
      </c>
      <c r="D15" s="15">
        <f>SUM(D5:D14)</f>
        <v>103477.99999999999</v>
      </c>
      <c r="E15" s="15">
        <f>SUM(E5:E14)</f>
        <v>110763.5</v>
      </c>
      <c r="F15" s="20">
        <f>SUM(F5:F14)</f>
        <v>14822.755</v>
      </c>
      <c r="G15" s="8"/>
      <c r="H15" s="15"/>
      <c r="I15" s="15">
        <f>SUM(I6:I14)</f>
        <v>54208.935077523485</v>
      </c>
      <c r="J15" s="20">
        <f>SUM(J6:J14)</f>
        <v>2114.148468023416</v>
      </c>
      <c r="K15" s="58"/>
      <c r="L15" s="75">
        <f>SUM(L5:L14)</f>
        <v>127700.40346802343</v>
      </c>
      <c r="M15" s="15">
        <f>SUM(M6:M14)</f>
        <v>8298.553904041</v>
      </c>
      <c r="N15" s="20">
        <f>SUM(N6:N14)</f>
        <v>1885.8515319765836</v>
      </c>
      <c r="O15" s="20">
        <f>SUM(O5:O14)</f>
        <v>3999.9999999999995</v>
      </c>
      <c r="P15" s="15">
        <f>SUM(P5:P14)</f>
        <v>3000.0000000000005</v>
      </c>
      <c r="Q15" s="15">
        <f>SUM(Q5:Q14)</f>
        <v>999.9999999999993</v>
      </c>
      <c r="R15" s="20">
        <f>SUM(R5:R14)</f>
        <v>18822.755000000005</v>
      </c>
      <c r="S15" s="15">
        <f>SUM(S5:S14)</f>
        <v>17679.01</v>
      </c>
      <c r="T15" s="70">
        <f t="shared" si="4"/>
        <v>1143.7450000000063</v>
      </c>
      <c r="U15" s="58">
        <f t="shared" si="8"/>
        <v>129586.255</v>
      </c>
      <c r="V15" s="58">
        <f t="shared" si="5"/>
        <v>3088.4754993088327</v>
      </c>
      <c r="W15" s="58">
        <f>SUM(W5:W14)</f>
        <v>122300.75499999998</v>
      </c>
      <c r="X15" s="58">
        <f t="shared" si="7"/>
        <v>2914.837575670909</v>
      </c>
    </row>
    <row r="16" spans="1:24" ht="38.25">
      <c r="A16" s="3"/>
      <c r="B16" s="2"/>
      <c r="C16" s="9"/>
      <c r="D16" s="9"/>
      <c r="E16" s="15"/>
      <c r="F16" s="15"/>
      <c r="G16" s="5" t="s">
        <v>99</v>
      </c>
      <c r="H16" s="5">
        <f>БО!D17</f>
        <v>0.7186835471339218</v>
      </c>
      <c r="I16" s="8"/>
      <c r="J16" s="57" t="s">
        <v>165</v>
      </c>
      <c r="K16" s="93">
        <v>0.33</v>
      </c>
      <c r="L16" s="93"/>
      <c r="M16" s="52"/>
      <c r="N16" s="93">
        <f>N17-J15</f>
        <v>1885.8515319765838</v>
      </c>
      <c r="O16" s="15"/>
      <c r="P16" s="15"/>
      <c r="Q16" s="50"/>
      <c r="R16" s="58"/>
      <c r="S16" s="98"/>
      <c r="T16" s="98"/>
      <c r="U16" s="58">
        <f>E15+F15+O15</f>
        <v>129586.255</v>
      </c>
      <c r="V16" s="98"/>
      <c r="W16" s="4"/>
      <c r="X16" s="58"/>
    </row>
    <row r="17" spans="2:17" ht="12.75">
      <c r="B17" s="1"/>
      <c r="C17" s="19"/>
      <c r="D17" s="19"/>
      <c r="H17" s="43"/>
      <c r="I17" s="19"/>
      <c r="J17" s="99"/>
      <c r="K17" s="46"/>
      <c r="L17" s="46"/>
      <c r="M17" s="46"/>
      <c r="N17" s="46">
        <v>4000</v>
      </c>
      <c r="O17" s="28"/>
      <c r="P17" s="28"/>
      <c r="Q17" s="130"/>
    </row>
    <row r="18" spans="2:5" ht="12.75">
      <c r="B18" s="154"/>
      <c r="C18" s="154"/>
      <c r="D18" s="154"/>
      <c r="E18" s="154"/>
    </row>
  </sheetData>
  <sheetProtection/>
  <mergeCells count="2">
    <mergeCell ref="A1:M1"/>
    <mergeCell ref="B18:E18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5.625" style="0" customWidth="1"/>
    <col min="2" max="2" width="26.625" style="0" customWidth="1"/>
    <col min="3" max="3" width="10.25390625" style="7" customWidth="1"/>
    <col min="4" max="4" width="10.625" style="28" customWidth="1"/>
    <col min="5" max="5" width="9.875" style="0" customWidth="1"/>
    <col min="6" max="6" width="11.25390625" style="80" customWidth="1"/>
    <col min="7" max="7" width="10.875" style="28" customWidth="1"/>
    <col min="8" max="8" width="11.375" style="0" customWidth="1"/>
    <col min="9" max="9" width="14.375" style="19" customWidth="1"/>
    <col min="10" max="10" width="11.75390625" style="0" customWidth="1"/>
    <col min="11" max="11" width="10.25390625" style="0" customWidth="1"/>
  </cols>
  <sheetData>
    <row r="2" spans="1:10" ht="12.75">
      <c r="A2" s="174" t="s">
        <v>170</v>
      </c>
      <c r="B2" s="174"/>
      <c r="C2" s="174"/>
      <c r="D2" s="174"/>
      <c r="E2" s="174"/>
      <c r="F2" s="174"/>
      <c r="G2" s="174"/>
      <c r="H2" s="174"/>
      <c r="I2" s="73"/>
      <c r="J2" s="21"/>
    </row>
    <row r="3" spans="1:11" ht="12.75">
      <c r="A3" s="150" t="s">
        <v>0</v>
      </c>
      <c r="B3" s="150" t="s">
        <v>1</v>
      </c>
      <c r="C3" s="175" t="s">
        <v>61</v>
      </c>
      <c r="D3" s="175"/>
      <c r="E3" s="175"/>
      <c r="F3" s="175" t="s">
        <v>91</v>
      </c>
      <c r="G3" s="175"/>
      <c r="H3" s="175"/>
      <c r="I3" s="177" t="s">
        <v>127</v>
      </c>
      <c r="J3" s="178"/>
      <c r="K3" s="3"/>
    </row>
    <row r="4" spans="1:11" ht="54.75" customHeight="1">
      <c r="A4" s="150"/>
      <c r="B4" s="150"/>
      <c r="C4" s="57" t="s">
        <v>138</v>
      </c>
      <c r="D4" s="57" t="s">
        <v>141</v>
      </c>
      <c r="E4" s="48" t="s">
        <v>90</v>
      </c>
      <c r="F4" s="57" t="s">
        <v>138</v>
      </c>
      <c r="G4" s="57" t="s">
        <v>141</v>
      </c>
      <c r="H4" s="48" t="s">
        <v>90</v>
      </c>
      <c r="I4" s="57" t="s">
        <v>160</v>
      </c>
      <c r="J4" s="31" t="s">
        <v>138</v>
      </c>
      <c r="K4" s="48" t="s">
        <v>90</v>
      </c>
    </row>
    <row r="5" spans="1:11" ht="25.5">
      <c r="A5" s="3">
        <v>1</v>
      </c>
      <c r="B5" s="2" t="s">
        <v>3</v>
      </c>
      <c r="C5" s="100">
        <v>4169.08</v>
      </c>
      <c r="D5" s="100">
        <f>'субв от числ уточ'!D6</f>
        <v>4462.582610229277</v>
      </c>
      <c r="E5" s="90">
        <f aca="true" t="shared" si="0" ref="E5:E14">D5-C5</f>
        <v>293.5026102292768</v>
      </c>
      <c r="F5" s="100">
        <v>0</v>
      </c>
      <c r="G5" s="100">
        <f>'Дотац 4000'!O5</f>
        <v>0</v>
      </c>
      <c r="H5" s="100"/>
      <c r="I5" s="100">
        <f>D5+G5</f>
        <v>4462.582610229277</v>
      </c>
      <c r="J5" s="79">
        <f>C5+F5</f>
        <v>4169.08</v>
      </c>
      <c r="K5" s="76">
        <f aca="true" t="shared" si="1" ref="K5:K14">I5-J5</f>
        <v>293.5026102292768</v>
      </c>
    </row>
    <row r="6" spans="1:11" ht="25.5">
      <c r="A6" s="3">
        <v>2</v>
      </c>
      <c r="B6" s="2" t="s">
        <v>4</v>
      </c>
      <c r="C6" s="100">
        <v>2585.03</v>
      </c>
      <c r="D6" s="100">
        <f>'субв от числ уточ'!D7</f>
        <v>2782.40188712522</v>
      </c>
      <c r="E6" s="90">
        <f t="shared" si="0"/>
        <v>197.37188712521993</v>
      </c>
      <c r="F6" s="100">
        <v>293.64</v>
      </c>
      <c r="G6" s="100">
        <f>'Дотац 4000'!O6</f>
        <v>410.0682304142402</v>
      </c>
      <c r="H6" s="90">
        <f aca="true" t="shared" si="2" ref="H6:H14">G6-F6</f>
        <v>116.4282304142402</v>
      </c>
      <c r="I6" s="100">
        <f aca="true" t="shared" si="3" ref="I6:I14">D6+G6</f>
        <v>3192.4701175394603</v>
      </c>
      <c r="J6" s="79">
        <f aca="true" t="shared" si="4" ref="J6:J14">C6+F6</f>
        <v>2878.67</v>
      </c>
      <c r="K6" s="76">
        <f t="shared" si="1"/>
        <v>313.8001175394602</v>
      </c>
    </row>
    <row r="7" spans="1:11" ht="25.5">
      <c r="A7" s="3">
        <v>3</v>
      </c>
      <c r="B7" s="2" t="s">
        <v>5</v>
      </c>
      <c r="C7" s="100">
        <v>571.65</v>
      </c>
      <c r="D7" s="100">
        <f>'субв от числ уточ'!D8</f>
        <v>598.0962918871252</v>
      </c>
      <c r="E7" s="90">
        <f t="shared" si="0"/>
        <v>26.4462918871252</v>
      </c>
      <c r="F7" s="100">
        <v>1417</v>
      </c>
      <c r="G7" s="100">
        <f>'Дотац 4000'!O7</f>
        <v>1386.5306537503075</v>
      </c>
      <c r="H7" s="90">
        <f t="shared" si="2"/>
        <v>-30.469346249692535</v>
      </c>
      <c r="I7" s="100">
        <f t="shared" si="3"/>
        <v>1984.6269456374325</v>
      </c>
      <c r="J7" s="79">
        <f t="shared" si="4"/>
        <v>1988.65</v>
      </c>
      <c r="K7" s="76">
        <f t="shared" si="1"/>
        <v>-4.023054362567564</v>
      </c>
    </row>
    <row r="8" spans="1:11" ht="25.5">
      <c r="A8" s="3">
        <v>4</v>
      </c>
      <c r="B8" s="2" t="s">
        <v>6</v>
      </c>
      <c r="C8" s="100">
        <v>476.43</v>
      </c>
      <c r="D8" s="100">
        <f>'субв от числ уточ'!D9</f>
        <v>506.2445282186949</v>
      </c>
      <c r="E8" s="90">
        <f t="shared" si="0"/>
        <v>29.814528218694875</v>
      </c>
      <c r="F8" s="100">
        <v>132.03</v>
      </c>
      <c r="G8" s="100">
        <f>'Дотац 4000'!O8</f>
        <v>125.31848411447821</v>
      </c>
      <c r="H8" s="90">
        <f t="shared" si="2"/>
        <v>-6.711515885521791</v>
      </c>
      <c r="I8" s="100">
        <f t="shared" si="3"/>
        <v>631.5630123331731</v>
      </c>
      <c r="J8" s="79">
        <f t="shared" si="4"/>
        <v>608.46</v>
      </c>
      <c r="K8" s="76">
        <f t="shared" si="1"/>
        <v>23.10301233317307</v>
      </c>
    </row>
    <row r="9" spans="1:11" ht="25.5">
      <c r="A9" s="3">
        <v>5</v>
      </c>
      <c r="B9" s="2" t="s">
        <v>7</v>
      </c>
      <c r="C9" s="100">
        <v>739.51</v>
      </c>
      <c r="D9" s="100">
        <f>'субв от числ уточ'!D10</f>
        <v>777.5605070546737</v>
      </c>
      <c r="E9" s="90">
        <f t="shared" si="0"/>
        <v>38.050507054673744</v>
      </c>
      <c r="F9" s="100">
        <v>178.95</v>
      </c>
      <c r="G9" s="100">
        <f>'Дотац 4000'!O9</f>
        <v>413.6872956818722</v>
      </c>
      <c r="H9" s="90">
        <f t="shared" si="2"/>
        <v>234.73729568187218</v>
      </c>
      <c r="I9" s="100">
        <f t="shared" si="3"/>
        <v>1191.247802736546</v>
      </c>
      <c r="J9" s="79">
        <f t="shared" si="4"/>
        <v>918.46</v>
      </c>
      <c r="K9" s="76">
        <f t="shared" si="1"/>
        <v>272.7878027365459</v>
      </c>
    </row>
    <row r="10" spans="1:11" ht="25.5">
      <c r="A10" s="3">
        <v>6</v>
      </c>
      <c r="B10" s="2" t="s">
        <v>8</v>
      </c>
      <c r="C10" s="100">
        <v>818.04</v>
      </c>
      <c r="D10" s="100">
        <f>'субв от числ уточ'!D11</f>
        <v>857.4008862433861</v>
      </c>
      <c r="E10" s="90">
        <f t="shared" si="0"/>
        <v>39.360886243386176</v>
      </c>
      <c r="F10" s="100">
        <v>137.15</v>
      </c>
      <c r="G10" s="100">
        <f>'Дотац 4000'!O10</f>
        <v>164.67669229024696</v>
      </c>
      <c r="H10" s="90">
        <f t="shared" si="2"/>
        <v>27.526692290246956</v>
      </c>
      <c r="I10" s="100">
        <f t="shared" si="3"/>
        <v>1022.0775785336331</v>
      </c>
      <c r="J10" s="79">
        <f t="shared" si="4"/>
        <v>955.1899999999999</v>
      </c>
      <c r="K10" s="76">
        <f t="shared" si="1"/>
        <v>66.88757853363313</v>
      </c>
    </row>
    <row r="11" spans="1:11" ht="25.5">
      <c r="A11" s="3">
        <v>7</v>
      </c>
      <c r="B11" s="2" t="s">
        <v>9</v>
      </c>
      <c r="C11" s="100">
        <v>1067.38</v>
      </c>
      <c r="D11" s="100">
        <f>'субв от числ уточ'!D12</f>
        <v>1139.3151455026455</v>
      </c>
      <c r="E11" s="90">
        <f t="shared" si="0"/>
        <v>71.93514550264536</v>
      </c>
      <c r="F11" s="100">
        <v>1051.88</v>
      </c>
      <c r="G11" s="100">
        <f>'Дотац 4000'!O11</f>
        <v>845.8980550786164</v>
      </c>
      <c r="H11" s="90">
        <f t="shared" si="2"/>
        <v>-205.98194492138373</v>
      </c>
      <c r="I11" s="100">
        <f t="shared" si="3"/>
        <v>1985.2132005812618</v>
      </c>
      <c r="J11" s="79">
        <f t="shared" si="4"/>
        <v>2119.26</v>
      </c>
      <c r="K11" s="76">
        <f t="shared" si="1"/>
        <v>-134.04679941873837</v>
      </c>
    </row>
    <row r="12" spans="1:11" ht="25.5">
      <c r="A12" s="3">
        <v>8</v>
      </c>
      <c r="B12" s="2" t="s">
        <v>10</v>
      </c>
      <c r="C12" s="100">
        <v>823.28</v>
      </c>
      <c r="D12" s="100">
        <f>'субв от числ уточ'!D13</f>
        <v>878.2441710758377</v>
      </c>
      <c r="E12" s="90">
        <f t="shared" si="0"/>
        <v>54.964171075837726</v>
      </c>
      <c r="F12" s="100">
        <v>674.11</v>
      </c>
      <c r="G12" s="100">
        <f>'Дотац 4000'!O12</f>
        <v>567.425029455191</v>
      </c>
      <c r="H12" s="90">
        <f t="shared" si="2"/>
        <v>-106.68497054480906</v>
      </c>
      <c r="I12" s="100">
        <f t="shared" si="3"/>
        <v>1445.6692005310288</v>
      </c>
      <c r="J12" s="79">
        <f t="shared" si="4"/>
        <v>1497.3899999999999</v>
      </c>
      <c r="K12" s="76">
        <f t="shared" si="1"/>
        <v>-51.72079946897111</v>
      </c>
    </row>
    <row r="13" spans="1:11" ht="25.5">
      <c r="A13" s="3">
        <v>9</v>
      </c>
      <c r="B13" s="2" t="s">
        <v>11</v>
      </c>
      <c r="C13" s="100">
        <v>897.89</v>
      </c>
      <c r="D13" s="100">
        <f>'субв от числ уточ'!D14</f>
        <v>957.0247222222221</v>
      </c>
      <c r="E13" s="90">
        <f t="shared" si="0"/>
        <v>59.13472222222208</v>
      </c>
      <c r="F13" s="100">
        <v>115.24</v>
      </c>
      <c r="G13" s="100">
        <f>'Дотац 4000'!O13</f>
        <v>86.39555921504737</v>
      </c>
      <c r="H13" s="90">
        <f t="shared" si="2"/>
        <v>-28.844440784952624</v>
      </c>
      <c r="I13" s="100">
        <f t="shared" si="3"/>
        <v>1043.4202814372695</v>
      </c>
      <c r="J13" s="79">
        <f t="shared" si="4"/>
        <v>1013.13</v>
      </c>
      <c r="K13" s="76">
        <f t="shared" si="1"/>
        <v>30.290281437269527</v>
      </c>
    </row>
    <row r="14" spans="1:11" ht="25.5">
      <c r="A14" s="4">
        <v>10</v>
      </c>
      <c r="B14" s="2" t="s">
        <v>12</v>
      </c>
      <c r="C14" s="100">
        <v>1530.72</v>
      </c>
      <c r="D14" s="100">
        <f>'субв от числ уточ'!D15</f>
        <v>1863.884250440917</v>
      </c>
      <c r="E14" s="90">
        <f t="shared" si="0"/>
        <v>333.16425044091693</v>
      </c>
      <c r="F14" s="100">
        <v>0</v>
      </c>
      <c r="G14" s="100">
        <f>'Дотац 4000'!O14</f>
        <v>0</v>
      </c>
      <c r="H14" s="100">
        <f t="shared" si="2"/>
        <v>0</v>
      </c>
      <c r="I14" s="100">
        <f t="shared" si="3"/>
        <v>1863.884250440917</v>
      </c>
      <c r="J14" s="79">
        <f t="shared" si="4"/>
        <v>1530.72</v>
      </c>
      <c r="K14" s="76">
        <f t="shared" si="1"/>
        <v>333.16425044091693</v>
      </c>
    </row>
    <row r="15" spans="1:11" ht="12.75">
      <c r="A15" s="3"/>
      <c r="B15" s="11" t="s">
        <v>15</v>
      </c>
      <c r="C15" s="104">
        <f>SUM(C5:C14)</f>
        <v>13679.010000000002</v>
      </c>
      <c r="D15" s="104">
        <f aca="true" t="shared" si="5" ref="D15:K15">SUM(D5:D14)</f>
        <v>14822.755</v>
      </c>
      <c r="E15" s="104">
        <f t="shared" si="5"/>
        <v>1143.744999999999</v>
      </c>
      <c r="F15" s="104">
        <f t="shared" si="5"/>
        <v>4000</v>
      </c>
      <c r="G15" s="104">
        <f t="shared" si="5"/>
        <v>3999.9999999999995</v>
      </c>
      <c r="H15" s="104">
        <f t="shared" si="5"/>
        <v>-4.121147867408581E-13</v>
      </c>
      <c r="I15" s="104">
        <f t="shared" si="5"/>
        <v>18822.755000000005</v>
      </c>
      <c r="J15" s="104">
        <f t="shared" si="5"/>
        <v>17679.01</v>
      </c>
      <c r="K15" s="104">
        <f t="shared" si="5"/>
        <v>1143.7449999999985</v>
      </c>
    </row>
    <row r="16" spans="2:11" ht="12.75">
      <c r="B16" s="1"/>
      <c r="C16" s="83"/>
      <c r="D16" s="114"/>
      <c r="E16" s="84"/>
      <c r="F16" s="115"/>
      <c r="G16" s="114"/>
      <c r="H16" s="84"/>
      <c r="I16" s="84"/>
      <c r="J16" s="84"/>
      <c r="K16" s="84"/>
    </row>
    <row r="17" spans="2:9" ht="24.75" customHeight="1">
      <c r="B17" s="154"/>
      <c r="C17" s="154"/>
      <c r="D17" s="154"/>
      <c r="G17" s="176"/>
      <c r="H17" s="176"/>
      <c r="I17" s="176"/>
    </row>
  </sheetData>
  <sheetProtection/>
  <mergeCells count="8">
    <mergeCell ref="B17:D17"/>
    <mergeCell ref="A2:H2"/>
    <mergeCell ref="C3:E3"/>
    <mergeCell ref="F3:H3"/>
    <mergeCell ref="B3:B4"/>
    <mergeCell ref="A3:A4"/>
    <mergeCell ref="G17:I17"/>
    <mergeCell ref="I3:J3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H13" sqref="H12:H13"/>
    </sheetView>
  </sheetViews>
  <sheetFormatPr defaultColWidth="9.00390625" defaultRowHeight="12.75"/>
  <cols>
    <col min="2" max="2" width="28.625" style="0" customWidth="1"/>
    <col min="3" max="3" width="12.875" style="0" customWidth="1"/>
    <col min="4" max="4" width="14.625" style="0" customWidth="1"/>
    <col min="5" max="5" width="13.25390625" style="0" customWidth="1"/>
  </cols>
  <sheetData>
    <row r="2" spans="1:5" ht="42.75" customHeight="1">
      <c r="A2" s="179" t="s">
        <v>161</v>
      </c>
      <c r="B2" s="179"/>
      <c r="C2" s="179"/>
      <c r="D2" s="179"/>
      <c r="E2" s="179"/>
    </row>
    <row r="3" spans="1:5" ht="54.75" customHeight="1">
      <c r="A3" s="101"/>
      <c r="B3" s="101"/>
      <c r="C3" s="101">
        <v>2020</v>
      </c>
      <c r="D3" s="138">
        <v>2021</v>
      </c>
      <c r="E3" s="138">
        <v>2022</v>
      </c>
    </row>
    <row r="4" spans="1:5" ht="25.5">
      <c r="A4" s="3">
        <v>1</v>
      </c>
      <c r="B4" s="2" t="s">
        <v>3</v>
      </c>
      <c r="C4" s="140">
        <v>4462.583</v>
      </c>
      <c r="D4" s="139">
        <v>4639.608</v>
      </c>
      <c r="E4" s="139">
        <v>3790.399</v>
      </c>
    </row>
    <row r="5" spans="1:5" ht="25.5">
      <c r="A5" s="3">
        <v>2</v>
      </c>
      <c r="B5" s="2" t="s">
        <v>4</v>
      </c>
      <c r="C5" s="140">
        <v>3192.47</v>
      </c>
      <c r="D5" s="139">
        <v>3250.306</v>
      </c>
      <c r="E5" s="139">
        <v>2435.969</v>
      </c>
    </row>
    <row r="6" spans="1:5" ht="25.5">
      <c r="A6" s="3">
        <v>3</v>
      </c>
      <c r="B6" s="2" t="s">
        <v>5</v>
      </c>
      <c r="C6" s="140">
        <v>1984.627</v>
      </c>
      <c r="D6" s="139">
        <v>2126.081</v>
      </c>
      <c r="E6" s="139">
        <v>2710.876</v>
      </c>
    </row>
    <row r="7" spans="1:5" ht="25.5">
      <c r="A7" s="3">
        <v>4</v>
      </c>
      <c r="B7" s="2" t="s">
        <v>6</v>
      </c>
      <c r="C7" s="140">
        <v>631.563</v>
      </c>
      <c r="D7" s="139">
        <v>629.359</v>
      </c>
      <c r="E7" s="139">
        <v>443.209</v>
      </c>
    </row>
    <row r="8" spans="1:5" ht="24.75" customHeight="1">
      <c r="A8" s="3">
        <v>5</v>
      </c>
      <c r="B8" s="2" t="s">
        <v>7</v>
      </c>
      <c r="C8" s="140">
        <v>1191.248</v>
      </c>
      <c r="D8" s="139">
        <v>1245.463</v>
      </c>
      <c r="E8" s="139">
        <v>945.192</v>
      </c>
    </row>
    <row r="9" spans="1:5" ht="25.5">
      <c r="A9" s="3">
        <v>6</v>
      </c>
      <c r="B9" s="2" t="s">
        <v>8</v>
      </c>
      <c r="C9" s="140">
        <v>1022.078</v>
      </c>
      <c r="D9" s="139">
        <v>1026.224</v>
      </c>
      <c r="E9" s="139">
        <v>754.167</v>
      </c>
    </row>
    <row r="10" spans="1:5" ht="25.5">
      <c r="A10" s="3">
        <v>7</v>
      </c>
      <c r="B10" s="2" t="s">
        <v>9</v>
      </c>
      <c r="C10" s="140">
        <v>1985.213</v>
      </c>
      <c r="D10" s="139">
        <v>1977.118</v>
      </c>
      <c r="E10" s="139">
        <v>1852.358</v>
      </c>
    </row>
    <row r="11" spans="1:5" ht="25.5">
      <c r="A11" s="3">
        <v>8</v>
      </c>
      <c r="B11" s="2" t="s">
        <v>10</v>
      </c>
      <c r="C11" s="140">
        <v>1445.669</v>
      </c>
      <c r="D11" s="139">
        <v>1500.755</v>
      </c>
      <c r="E11" s="139">
        <v>1246.036</v>
      </c>
    </row>
    <row r="12" spans="1:5" ht="25.5">
      <c r="A12" s="3">
        <v>9</v>
      </c>
      <c r="B12" s="2" t="s">
        <v>11</v>
      </c>
      <c r="C12" s="140">
        <v>1043.42</v>
      </c>
      <c r="D12" s="139">
        <v>1078.019</v>
      </c>
      <c r="E12" s="139">
        <v>828.715</v>
      </c>
    </row>
    <row r="13" spans="1:5" ht="25.5">
      <c r="A13" s="4">
        <v>10</v>
      </c>
      <c r="B13" s="2" t="s">
        <v>12</v>
      </c>
      <c r="C13" s="140">
        <v>1863.884</v>
      </c>
      <c r="D13" s="139">
        <v>1937.822</v>
      </c>
      <c r="E13" s="139">
        <v>1583.134</v>
      </c>
    </row>
    <row r="14" spans="1:5" ht="12.75">
      <c r="A14" s="3"/>
      <c r="B14" s="11" t="s">
        <v>15</v>
      </c>
      <c r="C14" s="140">
        <f>SUM(C4:C13)</f>
        <v>18822.754999999997</v>
      </c>
      <c r="D14" s="140">
        <f>SUM(D4:D13)</f>
        <v>19410.755</v>
      </c>
      <c r="E14" s="140">
        <f>SUM(E4:E13)</f>
        <v>16590.055</v>
      </c>
    </row>
    <row r="15" spans="2:5" ht="12.75">
      <c r="B15" s="1"/>
      <c r="C15" s="83"/>
      <c r="D15" s="1"/>
      <c r="E15" s="134"/>
    </row>
    <row r="16" spans="2:5" ht="24.75" customHeight="1">
      <c r="B16" s="1"/>
      <c r="C16" s="1"/>
      <c r="D16" s="1"/>
      <c r="E16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9"/>
  <sheetViews>
    <sheetView zoomScalePageLayoutView="0" workbookViewId="0" topLeftCell="A1">
      <selection activeCell="B19" sqref="B19:D19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</cols>
  <sheetData>
    <row r="2" spans="1:4" ht="52.5" customHeight="1">
      <c r="A2" s="153" t="s">
        <v>143</v>
      </c>
      <c r="B2" s="153"/>
      <c r="C2" s="153"/>
      <c r="D2" s="153"/>
    </row>
    <row r="4" spans="1:6" ht="38.25">
      <c r="A4" s="2" t="s">
        <v>0</v>
      </c>
      <c r="B4" s="2" t="s">
        <v>1</v>
      </c>
      <c r="C4" s="2" t="s">
        <v>13</v>
      </c>
      <c r="D4" s="2" t="s">
        <v>63</v>
      </c>
      <c r="E4" s="1"/>
      <c r="F4" s="1"/>
    </row>
    <row r="5" spans="1:4" ht="12.75">
      <c r="A5" s="3">
        <v>1</v>
      </c>
      <c r="B5" s="2" t="s">
        <v>3</v>
      </c>
      <c r="C5" s="23">
        <v>12632</v>
      </c>
      <c r="D5" s="8">
        <f>(0.6*C5+0.4*C16)/C5</f>
        <v>0.7328625712476251</v>
      </c>
    </row>
    <row r="6" spans="1:4" ht="12.75">
      <c r="A6" s="3">
        <v>2</v>
      </c>
      <c r="B6" s="2" t="s">
        <v>4</v>
      </c>
      <c r="C6" s="23">
        <v>7876</v>
      </c>
      <c r="D6" s="8">
        <f>(0.6*C6+0.4*C16)/C6</f>
        <v>0.8130929405789741</v>
      </c>
    </row>
    <row r="7" spans="1:4" ht="12.75">
      <c r="A7" s="3">
        <v>3</v>
      </c>
      <c r="B7" s="2" t="s">
        <v>5</v>
      </c>
      <c r="C7" s="23">
        <v>1693</v>
      </c>
      <c r="D7" s="8">
        <f>(0.6*C7+0.4*C16)/C7</f>
        <v>1.5913290017720023</v>
      </c>
    </row>
    <row r="8" spans="1:4" ht="12.75">
      <c r="A8" s="3">
        <v>4</v>
      </c>
      <c r="B8" s="2" t="s">
        <v>6</v>
      </c>
      <c r="C8" s="23">
        <v>1433</v>
      </c>
      <c r="D8" s="8">
        <f>(0.6*C8+0.4*C16)/C8</f>
        <v>1.7711933007676204</v>
      </c>
    </row>
    <row r="9" spans="1:4" ht="12.75">
      <c r="A9" s="3">
        <v>5</v>
      </c>
      <c r="B9" s="2" t="s">
        <v>7</v>
      </c>
      <c r="C9" s="23">
        <v>2201</v>
      </c>
      <c r="D9" s="8">
        <f>(0.6*C9+0.4*C16)/C9</f>
        <v>1.3625261244888687</v>
      </c>
    </row>
    <row r="10" spans="1:4" ht="12.75">
      <c r="A10" s="3">
        <v>6</v>
      </c>
      <c r="B10" s="2" t="s">
        <v>8</v>
      </c>
      <c r="C10" s="23">
        <v>2427</v>
      </c>
      <c r="D10" s="8">
        <f>(0.6*C10+0.4*C16)/C10</f>
        <v>1.291520395550062</v>
      </c>
    </row>
    <row r="11" spans="1:4" ht="12.75">
      <c r="A11" s="3">
        <v>7</v>
      </c>
      <c r="B11" s="2" t="s">
        <v>9</v>
      </c>
      <c r="C11" s="23">
        <v>3225</v>
      </c>
      <c r="D11" s="8">
        <f>(0.6*C11+0.4*C16)/C11</f>
        <v>1.1204093023255814</v>
      </c>
    </row>
    <row r="12" spans="1:4" ht="25.5">
      <c r="A12" s="3">
        <v>8</v>
      </c>
      <c r="B12" s="2" t="s">
        <v>10</v>
      </c>
      <c r="C12" s="23">
        <v>2486</v>
      </c>
      <c r="D12" s="8">
        <f>(0.6*C12+0.4*C16)/C12</f>
        <v>1.2751086082059533</v>
      </c>
    </row>
    <row r="13" spans="1:4" ht="12.75">
      <c r="A13" s="3">
        <v>9</v>
      </c>
      <c r="B13" s="2" t="s">
        <v>11</v>
      </c>
      <c r="C13" s="23">
        <v>2709</v>
      </c>
      <c r="D13" s="8">
        <f>(0.6*C13+0.4*C16)/C13</f>
        <v>1.2195348837209303</v>
      </c>
    </row>
    <row r="14" spans="1:4" ht="12.75">
      <c r="A14" s="4">
        <v>10</v>
      </c>
      <c r="B14" s="2" t="s">
        <v>12</v>
      </c>
      <c r="C14" s="23">
        <v>5276</v>
      </c>
      <c r="D14" s="8">
        <f>(0.6*C14+0.4*C16)/C14</f>
        <v>0.9181046247156938</v>
      </c>
    </row>
    <row r="15" spans="1:4" ht="12.75">
      <c r="A15" s="3"/>
      <c r="B15" s="11" t="s">
        <v>65</v>
      </c>
      <c r="C15" s="24">
        <f>SUM(C5:C14)</f>
        <v>41958</v>
      </c>
      <c r="D15" s="20">
        <f>(0.6*C15+0.4*C16)/C15</f>
        <v>0.64</v>
      </c>
    </row>
    <row r="16" spans="1:4" ht="12.75">
      <c r="A16" s="3"/>
      <c r="B16" s="11" t="s">
        <v>2</v>
      </c>
      <c r="C16" s="9">
        <f>C15/10</f>
        <v>4195.8</v>
      </c>
      <c r="D16" s="3"/>
    </row>
    <row r="17" ht="12.75">
      <c r="B17" s="1"/>
    </row>
    <row r="18" ht="20.25" customHeight="1">
      <c r="B18" s="1"/>
    </row>
    <row r="19" spans="2:4" ht="12.75">
      <c r="B19" s="154"/>
      <c r="C19" s="154"/>
      <c r="D19" s="154"/>
    </row>
  </sheetData>
  <sheetProtection/>
  <mergeCells count="2">
    <mergeCell ref="A2:D2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7.00390625" style="0" customWidth="1"/>
    <col min="2" max="2" width="37.00390625" style="0" customWidth="1"/>
    <col min="3" max="3" width="15.75390625" style="0" customWidth="1"/>
    <col min="4" max="4" width="16.625" style="0" customWidth="1"/>
  </cols>
  <sheetData>
    <row r="2" spans="1:4" ht="28.5" customHeight="1">
      <c r="A2" s="155" t="s">
        <v>114</v>
      </c>
      <c r="B2" s="155"/>
      <c r="C2" s="155"/>
      <c r="D2" s="155"/>
    </row>
    <row r="3" spans="1:4" ht="38.25">
      <c r="A3" s="9" t="s">
        <v>17</v>
      </c>
      <c r="B3" s="9" t="s">
        <v>16</v>
      </c>
      <c r="C3" s="11" t="s">
        <v>115</v>
      </c>
      <c r="D3" s="11" t="s">
        <v>73</v>
      </c>
    </row>
    <row r="4" spans="1:4" s="80" customFormat="1" ht="12.75">
      <c r="A4" s="78">
        <v>1</v>
      </c>
      <c r="B4" s="78" t="s">
        <v>3</v>
      </c>
      <c r="C4" s="79"/>
      <c r="D4" s="79"/>
    </row>
    <row r="5" spans="1:4" s="80" customFormat="1" ht="12.75">
      <c r="A5" s="78">
        <v>2</v>
      </c>
      <c r="B5" s="78" t="s">
        <v>4</v>
      </c>
      <c r="C5" s="79"/>
      <c r="D5" s="79"/>
    </row>
    <row r="6" spans="1:4" s="80" customFormat="1" ht="12.75">
      <c r="A6" s="78">
        <v>3</v>
      </c>
      <c r="B6" s="78" t="s">
        <v>5</v>
      </c>
      <c r="C6" s="79"/>
      <c r="D6" s="79"/>
    </row>
    <row r="7" spans="1:4" s="80" customFormat="1" ht="12.75">
      <c r="A7" s="78">
        <v>4</v>
      </c>
      <c r="B7" s="78" t="s">
        <v>6</v>
      </c>
      <c r="C7" s="79"/>
      <c r="D7" s="79"/>
    </row>
    <row r="8" spans="1:4" s="80" customFormat="1" ht="12.75">
      <c r="A8" s="78">
        <v>5</v>
      </c>
      <c r="B8" s="78" t="s">
        <v>7</v>
      </c>
      <c r="C8" s="79"/>
      <c r="D8" s="79"/>
    </row>
    <row r="9" spans="1:4" s="80" customFormat="1" ht="12.75">
      <c r="A9" s="78">
        <v>6</v>
      </c>
      <c r="B9" s="78" t="s">
        <v>8</v>
      </c>
      <c r="C9" s="79"/>
      <c r="D9" s="79"/>
    </row>
    <row r="10" spans="1:4" s="80" customFormat="1" ht="12.75">
      <c r="A10" s="78">
        <v>7</v>
      </c>
      <c r="B10" s="78" t="s">
        <v>9</v>
      </c>
      <c r="C10" s="79"/>
      <c r="D10" s="79"/>
    </row>
    <row r="11" spans="1:4" s="80" customFormat="1" ht="25.5">
      <c r="A11" s="78">
        <v>8</v>
      </c>
      <c r="B11" s="81" t="s">
        <v>52</v>
      </c>
      <c r="C11" s="79"/>
      <c r="D11" s="79"/>
    </row>
    <row r="12" spans="1:4" s="80" customFormat="1" ht="12.75">
      <c r="A12" s="78">
        <v>9</v>
      </c>
      <c r="B12" s="81" t="s">
        <v>11</v>
      </c>
      <c r="C12" s="79"/>
      <c r="D12" s="79"/>
    </row>
    <row r="13" spans="1:4" s="80" customFormat="1" ht="12.75">
      <c r="A13" s="78">
        <v>10</v>
      </c>
      <c r="B13" s="81" t="s">
        <v>12</v>
      </c>
      <c r="C13" s="79"/>
      <c r="D13" s="79"/>
    </row>
    <row r="14" spans="1:4" ht="17.25" customHeight="1">
      <c r="A14" s="3"/>
      <c r="B14" s="14" t="s">
        <v>59</v>
      </c>
      <c r="C14" s="75">
        <f>C4+C5+C6+C7+C8+C9+C10+C11+C12+C13</f>
        <v>0</v>
      </c>
      <c r="D14" s="75"/>
    </row>
    <row r="15" spans="1:4" ht="12.75">
      <c r="A15" s="3"/>
      <c r="B15" s="2" t="s">
        <v>74</v>
      </c>
      <c r="C15" s="77">
        <f>C14/10</f>
        <v>0</v>
      </c>
      <c r="D15" s="76"/>
    </row>
    <row r="16" spans="2:4" ht="18" customHeight="1">
      <c r="B16" s="154"/>
      <c r="C16" s="154"/>
      <c r="D16" s="154"/>
    </row>
  </sheetData>
  <sheetProtection/>
  <mergeCells count="2">
    <mergeCell ref="A2:D2"/>
    <mergeCell ref="B16:D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58"/>
  <sheetViews>
    <sheetView view="pageBreakPreview" zoomScaleSheetLayoutView="100" zoomScalePageLayoutView="0" workbookViewId="0" topLeftCell="A37">
      <selection activeCell="F62" sqref="F62"/>
    </sheetView>
  </sheetViews>
  <sheetFormatPr defaultColWidth="9.00390625" defaultRowHeight="12.75"/>
  <cols>
    <col min="1" max="1" width="6.25390625" style="0" customWidth="1"/>
    <col min="2" max="2" width="35.25390625" style="0" customWidth="1"/>
    <col min="3" max="3" width="18.00390625" style="0" customWidth="1"/>
    <col min="4" max="4" width="16.00390625" style="0" customWidth="1"/>
  </cols>
  <sheetData>
    <row r="1" spans="1:4" ht="79.5" customHeight="1">
      <c r="A1" s="156" t="s">
        <v>147</v>
      </c>
      <c r="B1" s="156"/>
      <c r="C1" s="156"/>
      <c r="D1" s="156"/>
    </row>
    <row r="2" spans="1:4" ht="38.25">
      <c r="A2" s="9" t="s">
        <v>17</v>
      </c>
      <c r="B2" s="9" t="s">
        <v>16</v>
      </c>
      <c r="C2" s="11" t="s">
        <v>148</v>
      </c>
      <c r="D2" s="11" t="s">
        <v>62</v>
      </c>
    </row>
    <row r="3" spans="1:4" ht="12.75">
      <c r="A3" s="9">
        <v>1</v>
      </c>
      <c r="B3" s="9" t="s">
        <v>3</v>
      </c>
      <c r="C3" s="9">
        <f>C4+C5+C6</f>
        <v>12632</v>
      </c>
      <c r="D3" s="15">
        <f>(D4/C3)+1</f>
        <v>1.0168619379354022</v>
      </c>
    </row>
    <row r="4" spans="1:4" ht="12.75">
      <c r="A4" s="3"/>
      <c r="B4" s="12" t="s">
        <v>24</v>
      </c>
      <c r="C4" s="3">
        <v>11402</v>
      </c>
      <c r="D4" s="3">
        <f>C6</f>
        <v>213</v>
      </c>
    </row>
    <row r="5" spans="1:4" ht="12.75">
      <c r="A5" s="3"/>
      <c r="B5" s="3" t="s">
        <v>18</v>
      </c>
      <c r="C5" s="3">
        <v>1017</v>
      </c>
      <c r="D5" s="3"/>
    </row>
    <row r="6" spans="1:4" ht="12.75">
      <c r="A6" s="3"/>
      <c r="B6" s="3" t="s">
        <v>64</v>
      </c>
      <c r="C6" s="3">
        <v>213</v>
      </c>
      <c r="D6" s="3"/>
    </row>
    <row r="7" spans="1:4" ht="12.75">
      <c r="A7" s="9">
        <v>2</v>
      </c>
      <c r="B7" s="9" t="s">
        <v>4</v>
      </c>
      <c r="C7" s="9">
        <f>C8+C9+C10</f>
        <v>7876</v>
      </c>
      <c r="D7" s="9">
        <v>1</v>
      </c>
    </row>
    <row r="8" spans="1:4" ht="12.75">
      <c r="A8" s="3"/>
      <c r="B8" s="12" t="s">
        <v>26</v>
      </c>
      <c r="C8" s="3">
        <v>6165</v>
      </c>
      <c r="D8" s="3"/>
    </row>
    <row r="9" spans="1:4" ht="12.75">
      <c r="A9" s="3"/>
      <c r="B9" s="3" t="s">
        <v>19</v>
      </c>
      <c r="C9" s="3">
        <v>1159</v>
      </c>
      <c r="D9" s="3"/>
    </row>
    <row r="10" spans="1:4" ht="12.75">
      <c r="A10" s="3"/>
      <c r="B10" s="3" t="s">
        <v>20</v>
      </c>
      <c r="C10" s="3">
        <v>552</v>
      </c>
      <c r="D10" s="3"/>
    </row>
    <row r="11" spans="1:4" ht="12.75">
      <c r="A11" s="9">
        <v>3</v>
      </c>
      <c r="B11" s="9" t="s">
        <v>5</v>
      </c>
      <c r="C11" s="9">
        <f>C12+C13+C14+C15+C16+C17+C18+C19+C20</f>
        <v>1693</v>
      </c>
      <c r="D11" s="15">
        <f>(D12/C11)+1</f>
        <v>2</v>
      </c>
    </row>
    <row r="12" spans="1:4" ht="12.75">
      <c r="A12" s="3"/>
      <c r="B12" s="3" t="s">
        <v>21</v>
      </c>
      <c r="C12" s="3">
        <v>331</v>
      </c>
      <c r="D12" s="3">
        <f>C12+C13+C14+C15+C16+C18+C19+C20+C17</f>
        <v>1693</v>
      </c>
    </row>
    <row r="13" spans="1:4" ht="12.75">
      <c r="A13" s="3"/>
      <c r="B13" s="3" t="s">
        <v>22</v>
      </c>
      <c r="C13" s="3">
        <v>31</v>
      </c>
      <c r="D13" s="3"/>
    </row>
    <row r="14" spans="1:4" ht="12.75">
      <c r="A14" s="3"/>
      <c r="B14" s="3" t="s">
        <v>23</v>
      </c>
      <c r="C14" s="3">
        <v>41</v>
      </c>
      <c r="D14" s="3"/>
    </row>
    <row r="15" spans="1:4" ht="12.75">
      <c r="A15" s="3"/>
      <c r="B15" s="12" t="s">
        <v>25</v>
      </c>
      <c r="C15" s="3">
        <v>354</v>
      </c>
      <c r="D15" s="3"/>
    </row>
    <row r="16" spans="1:4" ht="12.75">
      <c r="A16" s="3"/>
      <c r="B16" s="3" t="s">
        <v>27</v>
      </c>
      <c r="C16" s="3">
        <v>327</v>
      </c>
      <c r="D16" s="3"/>
    </row>
    <row r="17" spans="1:4" ht="12.75">
      <c r="A17" s="3"/>
      <c r="B17" s="3" t="s">
        <v>28</v>
      </c>
      <c r="C17" s="3">
        <v>486</v>
      </c>
      <c r="D17" s="3"/>
    </row>
    <row r="18" spans="1:4" ht="12.75">
      <c r="A18" s="3"/>
      <c r="B18" s="3" t="s">
        <v>29</v>
      </c>
      <c r="C18" s="3">
        <v>103</v>
      </c>
      <c r="D18" s="3"/>
    </row>
    <row r="19" spans="1:4" ht="12.75">
      <c r="A19" s="3"/>
      <c r="B19" s="3" t="s">
        <v>30</v>
      </c>
      <c r="C19" s="3">
        <v>18</v>
      </c>
      <c r="D19" s="3"/>
    </row>
    <row r="20" spans="1:4" ht="12.75">
      <c r="A20" s="3"/>
      <c r="B20" s="3" t="s">
        <v>31</v>
      </c>
      <c r="C20" s="3">
        <v>2</v>
      </c>
      <c r="D20" s="3"/>
    </row>
    <row r="21" spans="1:4" ht="12.75">
      <c r="A21" s="9">
        <v>4</v>
      </c>
      <c r="B21" s="9" t="s">
        <v>6</v>
      </c>
      <c r="C21" s="9">
        <f>C22+C23+C24+C25+C26+C27</f>
        <v>1433</v>
      </c>
      <c r="D21" s="15">
        <f>(D22/C21)+1</f>
        <v>1.6015352407536636</v>
      </c>
    </row>
    <row r="22" spans="1:4" ht="12.75">
      <c r="A22" s="3"/>
      <c r="B22" s="12" t="s">
        <v>32</v>
      </c>
      <c r="C22" s="3">
        <v>571</v>
      </c>
      <c r="D22" s="3">
        <f>C23+C24+C25+C26+C27</f>
        <v>862</v>
      </c>
    </row>
    <row r="23" spans="1:4" ht="12.75">
      <c r="A23" s="3"/>
      <c r="B23" s="3" t="s">
        <v>33</v>
      </c>
      <c r="C23" s="3">
        <v>389</v>
      </c>
      <c r="D23" s="3"/>
    </row>
    <row r="24" spans="1:4" ht="12.75">
      <c r="A24" s="3"/>
      <c r="B24" s="3" t="s">
        <v>34</v>
      </c>
      <c r="C24" s="3">
        <v>39</v>
      </c>
      <c r="D24" s="3"/>
    </row>
    <row r="25" spans="1:4" ht="12.75">
      <c r="A25" s="3"/>
      <c r="B25" s="3" t="s">
        <v>35</v>
      </c>
      <c r="C25" s="3">
        <v>357</v>
      </c>
      <c r="D25" s="3"/>
    </row>
    <row r="26" spans="1:4" ht="12.75">
      <c r="A26" s="3"/>
      <c r="B26" s="3" t="s">
        <v>36</v>
      </c>
      <c r="C26" s="3">
        <v>77</v>
      </c>
      <c r="D26" s="3"/>
    </row>
    <row r="27" spans="1:4" ht="12.75">
      <c r="A27" s="3"/>
      <c r="B27" s="3" t="s">
        <v>37</v>
      </c>
      <c r="C27" s="3">
        <v>0</v>
      </c>
      <c r="D27" s="3"/>
    </row>
    <row r="28" spans="1:4" ht="12.75">
      <c r="A28" s="9">
        <v>5</v>
      </c>
      <c r="B28" s="9" t="s">
        <v>7</v>
      </c>
      <c r="C28" s="9">
        <f>C29+C30+C31+C32</f>
        <v>2201</v>
      </c>
      <c r="D28" s="15">
        <f>(D29/C28)+1</f>
        <v>1.3094048159927305</v>
      </c>
    </row>
    <row r="29" spans="1:4" ht="12.75">
      <c r="A29" s="3"/>
      <c r="B29" s="12" t="s">
        <v>38</v>
      </c>
      <c r="C29" s="3">
        <v>1520</v>
      </c>
      <c r="D29" s="3">
        <f>C30+C31+C32</f>
        <v>681</v>
      </c>
    </row>
    <row r="30" spans="1:4" ht="12.75">
      <c r="A30" s="3"/>
      <c r="B30" s="3" t="s">
        <v>39</v>
      </c>
      <c r="C30" s="3">
        <v>27</v>
      </c>
      <c r="D30" s="3"/>
    </row>
    <row r="31" spans="1:4" ht="12.75">
      <c r="A31" s="3"/>
      <c r="B31" s="3" t="s">
        <v>40</v>
      </c>
      <c r="C31" s="3">
        <v>293</v>
      </c>
      <c r="D31" s="3"/>
    </row>
    <row r="32" spans="1:4" ht="12.75">
      <c r="A32" s="3"/>
      <c r="B32" s="3" t="s">
        <v>60</v>
      </c>
      <c r="C32" s="3">
        <v>361</v>
      </c>
      <c r="D32" s="3"/>
    </row>
    <row r="33" spans="1:4" ht="12.75">
      <c r="A33" s="9">
        <v>6</v>
      </c>
      <c r="B33" s="9" t="s">
        <v>8</v>
      </c>
      <c r="C33" s="9">
        <f>C34+C35+C36+C37</f>
        <v>2427</v>
      </c>
      <c r="D33" s="15">
        <f>D34/C33+1</f>
        <v>1.0317264112072517</v>
      </c>
    </row>
    <row r="34" spans="1:4" ht="12.75">
      <c r="A34" s="3"/>
      <c r="B34" s="3" t="s">
        <v>41</v>
      </c>
      <c r="C34" s="3">
        <v>758</v>
      </c>
      <c r="D34" s="3">
        <f>C37</f>
        <v>77</v>
      </c>
    </row>
    <row r="35" spans="1:4" ht="12.75">
      <c r="A35" s="3"/>
      <c r="B35" s="12" t="s">
        <v>42</v>
      </c>
      <c r="C35" s="3">
        <v>802</v>
      </c>
      <c r="D35" s="3"/>
    </row>
    <row r="36" spans="1:4" ht="12.75">
      <c r="A36" s="3"/>
      <c r="B36" s="3" t="s">
        <v>43</v>
      </c>
      <c r="C36" s="3">
        <v>790</v>
      </c>
      <c r="D36" s="3"/>
    </row>
    <row r="37" spans="1:4" ht="12.75">
      <c r="A37" s="3"/>
      <c r="B37" s="3" t="s">
        <v>44</v>
      </c>
      <c r="C37" s="3">
        <v>77</v>
      </c>
      <c r="D37" s="3"/>
    </row>
    <row r="38" spans="1:4" ht="12.75">
      <c r="A38" s="9">
        <v>7</v>
      </c>
      <c r="B38" s="9" t="s">
        <v>9</v>
      </c>
      <c r="C38" s="9">
        <f>C39+C40+C41+C42+C43+C44+C45</f>
        <v>3225</v>
      </c>
      <c r="D38" s="15">
        <f>D39/C38+1</f>
        <v>1.38015503875969</v>
      </c>
    </row>
    <row r="39" spans="1:4" ht="12.75">
      <c r="A39" s="3"/>
      <c r="B39" s="3" t="s">
        <v>45</v>
      </c>
      <c r="C39" s="3">
        <v>594</v>
      </c>
      <c r="D39" s="3">
        <f>C40+C41+C45+C42</f>
        <v>1226</v>
      </c>
    </row>
    <row r="40" spans="1:4" ht="12.75">
      <c r="A40" s="3"/>
      <c r="B40" s="3" t="s">
        <v>46</v>
      </c>
      <c r="C40" s="3">
        <v>132</v>
      </c>
      <c r="D40" s="3"/>
    </row>
    <row r="41" spans="1:4" ht="12.75">
      <c r="A41" s="3"/>
      <c r="B41" s="3" t="s">
        <v>47</v>
      </c>
      <c r="C41" s="3">
        <v>169</v>
      </c>
      <c r="D41" s="3"/>
    </row>
    <row r="42" spans="1:4" ht="12.75">
      <c r="A42" s="3"/>
      <c r="B42" s="3" t="s">
        <v>48</v>
      </c>
      <c r="C42" s="3">
        <v>480</v>
      </c>
      <c r="D42" s="3"/>
    </row>
    <row r="43" spans="1:4" ht="12.75">
      <c r="A43" s="3"/>
      <c r="B43" s="3" t="s">
        <v>49</v>
      </c>
      <c r="C43" s="3">
        <v>793</v>
      </c>
      <c r="D43" s="3"/>
    </row>
    <row r="44" spans="1:4" ht="12.75">
      <c r="A44" s="3"/>
      <c r="B44" s="13" t="s">
        <v>50</v>
      </c>
      <c r="C44" s="4">
        <v>612</v>
      </c>
      <c r="D44" s="3"/>
    </row>
    <row r="45" spans="1:4" ht="12.75">
      <c r="A45" s="3"/>
      <c r="B45" s="4" t="s">
        <v>51</v>
      </c>
      <c r="C45" s="4">
        <v>445</v>
      </c>
      <c r="D45" s="3"/>
    </row>
    <row r="46" spans="1:4" ht="25.5">
      <c r="A46" s="9">
        <v>8</v>
      </c>
      <c r="B46" s="11" t="s">
        <v>52</v>
      </c>
      <c r="C46" s="9">
        <f>C47+C48</f>
        <v>2486</v>
      </c>
      <c r="D46" s="15">
        <f>(D47/C46)+1</f>
        <v>1.0358004827031375</v>
      </c>
    </row>
    <row r="47" spans="1:4" ht="12.75">
      <c r="A47" s="3"/>
      <c r="B47" s="22" t="s">
        <v>53</v>
      </c>
      <c r="C47" s="3">
        <v>2397</v>
      </c>
      <c r="D47" s="3">
        <f>C48</f>
        <v>89</v>
      </c>
    </row>
    <row r="48" spans="1:4" ht="12.75">
      <c r="A48" s="3"/>
      <c r="B48" s="2" t="s">
        <v>66</v>
      </c>
      <c r="C48" s="3">
        <v>89</v>
      </c>
      <c r="D48" s="3"/>
    </row>
    <row r="49" spans="1:4" ht="12.75">
      <c r="A49" s="9">
        <v>9</v>
      </c>
      <c r="B49" s="11" t="s">
        <v>11</v>
      </c>
      <c r="C49" s="9">
        <f>C50+C51</f>
        <v>2709</v>
      </c>
      <c r="D49" s="9">
        <v>1</v>
      </c>
    </row>
    <row r="50" spans="1:4" ht="12.75">
      <c r="A50" s="3"/>
      <c r="B50" s="22" t="s">
        <v>54</v>
      </c>
      <c r="C50" s="3">
        <v>1696</v>
      </c>
      <c r="D50" s="3"/>
    </row>
    <row r="51" spans="1:4" ht="12.75">
      <c r="A51" s="3"/>
      <c r="B51" s="2" t="s">
        <v>55</v>
      </c>
      <c r="C51" s="3">
        <v>1013</v>
      </c>
      <c r="D51" s="3"/>
    </row>
    <row r="52" spans="1:4" ht="12.75">
      <c r="A52" s="9">
        <v>10</v>
      </c>
      <c r="B52" s="11" t="s">
        <v>12</v>
      </c>
      <c r="C52" s="9">
        <f>C53+C54+C55</f>
        <v>5276</v>
      </c>
      <c r="D52" s="15">
        <f>(D53/C52)+1</f>
        <v>1.0352539802880971</v>
      </c>
    </row>
    <row r="53" spans="1:4" ht="12.75">
      <c r="A53" s="3"/>
      <c r="B53" s="22" t="s">
        <v>56</v>
      </c>
      <c r="C53" s="3">
        <v>3512</v>
      </c>
      <c r="D53" s="3">
        <f>C55</f>
        <v>186</v>
      </c>
    </row>
    <row r="54" spans="1:4" ht="12.75">
      <c r="A54" s="3"/>
      <c r="B54" s="2" t="s">
        <v>57</v>
      </c>
      <c r="C54" s="3">
        <v>1578</v>
      </c>
      <c r="D54" s="3"/>
    </row>
    <row r="55" spans="1:4" ht="12.75">
      <c r="A55" s="3"/>
      <c r="B55" s="2" t="s">
        <v>58</v>
      </c>
      <c r="C55" s="3">
        <v>186</v>
      </c>
      <c r="D55" s="3"/>
    </row>
    <row r="56" spans="1:4" ht="30">
      <c r="A56" s="3"/>
      <c r="B56" s="14" t="s">
        <v>59</v>
      </c>
      <c r="C56" s="9">
        <f>C3+C7+C11+C21+C28+C33+C38+C46+C49+C52</f>
        <v>41958</v>
      </c>
      <c r="D56" s="15">
        <f>D57/C56+1</f>
        <v>1</v>
      </c>
    </row>
    <row r="57" ht="12.75">
      <c r="B57" s="1"/>
    </row>
    <row r="58" spans="2:4" ht="15" customHeight="1">
      <c r="B58" s="154"/>
      <c r="C58" s="154"/>
      <c r="D58" s="154"/>
    </row>
  </sheetData>
  <sheetProtection/>
  <mergeCells count="2">
    <mergeCell ref="A1:D1"/>
    <mergeCell ref="B58:D58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G14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2.25390625" style="0" customWidth="1"/>
    <col min="2" max="2" width="11.875" style="0" customWidth="1"/>
    <col min="6" max="6" width="11.625" style="0" customWidth="1"/>
    <col min="7" max="7" width="10.75390625" style="19" customWidth="1"/>
  </cols>
  <sheetData>
    <row r="3" spans="1:7" ht="12.75">
      <c r="A3" s="157" t="s">
        <v>132</v>
      </c>
      <c r="B3" s="157"/>
      <c r="C3" s="157"/>
      <c r="D3" s="157"/>
      <c r="E3" s="157"/>
      <c r="F3" s="157"/>
      <c r="G3" s="157"/>
    </row>
    <row r="4" spans="1:7" ht="36" customHeight="1">
      <c r="A4" s="153" t="s">
        <v>144</v>
      </c>
      <c r="B4" s="153"/>
      <c r="C4" s="153"/>
      <c r="D4" s="153"/>
      <c r="E4" s="153"/>
      <c r="F4" s="153"/>
      <c r="G4" s="153"/>
    </row>
    <row r="6" spans="1:7" ht="89.25">
      <c r="A6" s="3" t="s">
        <v>16</v>
      </c>
      <c r="B6" s="2" t="s">
        <v>129</v>
      </c>
      <c r="C6" s="2" t="s">
        <v>122</v>
      </c>
      <c r="D6" s="2" t="s">
        <v>130</v>
      </c>
      <c r="E6" s="2" t="s">
        <v>123</v>
      </c>
      <c r="F6" s="117" t="s">
        <v>78</v>
      </c>
      <c r="G6" s="88"/>
    </row>
    <row r="7" spans="1:7" ht="27.75" customHeight="1">
      <c r="A7" s="2" t="s">
        <v>75</v>
      </c>
      <c r="B7" s="3">
        <f>22161.4+6783+186+97.6+7.2+1452.1+216.4+3.2+137.6</f>
        <v>31044.5</v>
      </c>
      <c r="C7" s="3">
        <v>2372.1</v>
      </c>
      <c r="D7" s="3">
        <f>B7+C7</f>
        <v>33416.6</v>
      </c>
      <c r="E7" s="3">
        <f>D7-3.2</f>
        <v>33413.4</v>
      </c>
      <c r="F7" s="118">
        <f>E7*100/E11</f>
        <v>27.93155334124689</v>
      </c>
      <c r="G7"/>
    </row>
    <row r="8" spans="1:7" ht="12.75">
      <c r="A8" s="3" t="s">
        <v>128</v>
      </c>
      <c r="B8" s="3">
        <f>308.5+20+760+21735.2+69+700+200+500+900+10420+300+17788.5+9708.6</f>
        <v>63409.799999999996</v>
      </c>
      <c r="C8" s="3">
        <v>426.6</v>
      </c>
      <c r="D8" s="3">
        <f>B8+C8</f>
        <v>63836.399999999994</v>
      </c>
      <c r="E8" s="3">
        <f>D8-308.5-17788.5-20-760-69</f>
        <v>44890.399999999994</v>
      </c>
      <c r="F8" s="118">
        <f>E8*100/E11</f>
        <v>37.52562152040526</v>
      </c>
      <c r="G8"/>
    </row>
    <row r="9" spans="1:7" ht="12.75">
      <c r="A9" s="3" t="s">
        <v>76</v>
      </c>
      <c r="B9" s="3">
        <f>12057.3+9800.9+85+3361.7+8115</f>
        <v>33419.899999999994</v>
      </c>
      <c r="C9" s="3"/>
      <c r="D9" s="3">
        <f>B9+C9</f>
        <v>33419.899999999994</v>
      </c>
      <c r="E9" s="3">
        <f>D9-3361.7</f>
        <v>30058.199999999993</v>
      </c>
      <c r="F9" s="118">
        <f>E9*100/E11</f>
        <v>25.12681189707923</v>
      </c>
      <c r="G9"/>
    </row>
    <row r="10" spans="1:7" ht="12.75">
      <c r="A10" s="3" t="s">
        <v>77</v>
      </c>
      <c r="B10" s="3">
        <f>175+23.9+100.9+7510.1+600+2.4+200+910+1600+200+20+147.8+37.8+253.9+42.1+362.4</f>
        <v>12186.3</v>
      </c>
      <c r="C10" s="3"/>
      <c r="D10" s="3">
        <f>B10+C10</f>
        <v>12186.3</v>
      </c>
      <c r="E10" s="3">
        <f>D10-23.9-600-2.4-253.9-42.1</f>
        <v>11264</v>
      </c>
      <c r="F10" s="118">
        <f>E10*100/E11</f>
        <v>9.416013241268622</v>
      </c>
      <c r="G10"/>
    </row>
    <row r="11" spans="1:6" s="32" customFormat="1" ht="12.75">
      <c r="A11" s="9" t="s">
        <v>14</v>
      </c>
      <c r="B11" s="9">
        <f>SUM(B7:B10)</f>
        <v>140060.49999999997</v>
      </c>
      <c r="C11" s="9">
        <f>SUM(C7:C10)</f>
        <v>2798.7</v>
      </c>
      <c r="D11" s="9">
        <f>SUM(D7:D10)</f>
        <v>142859.19999999998</v>
      </c>
      <c r="E11" s="9">
        <f>E7+E8+E9+E10</f>
        <v>119625.99999999999</v>
      </c>
      <c r="F11" s="119">
        <v>100</v>
      </c>
    </row>
    <row r="12" spans="1:6" ht="12.75">
      <c r="A12" s="102"/>
      <c r="B12">
        <v>115635.6</v>
      </c>
      <c r="F12">
        <f>D11-F11</f>
        <v>142759.19999999998</v>
      </c>
    </row>
    <row r="13" spans="1:7" ht="17.25" customHeight="1">
      <c r="A13" s="89"/>
      <c r="B13" s="7">
        <f>B11-B12</f>
        <v>24424.899999999965</v>
      </c>
      <c r="C13" s="7"/>
      <c r="D13" s="7"/>
      <c r="E13" s="7"/>
      <c r="G13"/>
    </row>
    <row r="14" ht="12.75">
      <c r="B14" s="7"/>
    </row>
  </sheetData>
  <sheetProtection/>
  <mergeCells count="2">
    <mergeCell ref="A4:G4"/>
    <mergeCell ref="A3:G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U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:D19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9.375" style="0" bestFit="1" customWidth="1"/>
    <col min="4" max="4" width="11.125" style="0" bestFit="1" customWidth="1"/>
    <col min="5" max="5" width="13.75390625" style="32" customWidth="1"/>
    <col min="6" max="6" width="9.375" style="0" bestFit="1" customWidth="1"/>
    <col min="7" max="7" width="11.25390625" style="0" bestFit="1" customWidth="1"/>
    <col min="8" max="8" width="11.125" style="0" bestFit="1" customWidth="1"/>
    <col min="9" max="9" width="12.25390625" style="32" customWidth="1"/>
    <col min="10" max="10" width="10.125" style="0" customWidth="1"/>
    <col min="11" max="11" width="0.2421875" style="19" hidden="1" customWidth="1"/>
    <col min="12" max="12" width="11.25390625" style="0" bestFit="1" customWidth="1"/>
    <col min="13" max="13" width="11.125" style="0" bestFit="1" customWidth="1"/>
    <col min="14" max="14" width="7.75390625" style="43" customWidth="1"/>
    <col min="15" max="15" width="8.75390625" style="0" bestFit="1" customWidth="1"/>
    <col min="18" max="18" width="9.125" style="43" customWidth="1"/>
    <col min="19" max="19" width="11.25390625" style="32" customWidth="1"/>
    <col min="21" max="21" width="9.125" style="19" customWidth="1"/>
  </cols>
  <sheetData>
    <row r="2" spans="1:15" ht="75.75" customHeight="1">
      <c r="A2" s="158" t="s">
        <v>145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4" spans="1:19" ht="38.25" customHeight="1">
      <c r="A4" s="159" t="s">
        <v>0</v>
      </c>
      <c r="B4" s="159" t="s">
        <v>1</v>
      </c>
      <c r="C4" s="161" t="s">
        <v>67</v>
      </c>
      <c r="D4" s="162"/>
      <c r="E4" s="163"/>
      <c r="F4" s="162" t="s">
        <v>68</v>
      </c>
      <c r="G4" s="162"/>
      <c r="H4" s="162"/>
      <c r="I4" s="163"/>
      <c r="J4" s="162" t="s">
        <v>69</v>
      </c>
      <c r="K4" s="162"/>
      <c r="L4" s="162"/>
      <c r="M4" s="162"/>
      <c r="N4" s="163"/>
      <c r="O4" s="164" t="s">
        <v>81</v>
      </c>
      <c r="P4" s="164"/>
      <c r="Q4" s="164"/>
      <c r="R4" s="164"/>
      <c r="S4" s="150" t="s">
        <v>82</v>
      </c>
    </row>
    <row r="5" spans="1:21" ht="62.25" customHeight="1">
      <c r="A5" s="160"/>
      <c r="B5" s="160"/>
      <c r="C5" s="18" t="s">
        <v>79</v>
      </c>
      <c r="D5" s="18" t="s">
        <v>70</v>
      </c>
      <c r="E5" s="67" t="s">
        <v>124</v>
      </c>
      <c r="F5" s="37" t="s">
        <v>79</v>
      </c>
      <c r="G5" s="53" t="s">
        <v>72</v>
      </c>
      <c r="H5" s="37" t="s">
        <v>70</v>
      </c>
      <c r="I5" s="65" t="s">
        <v>131</v>
      </c>
      <c r="J5" s="37" t="s">
        <v>79</v>
      </c>
      <c r="K5" s="54" t="s">
        <v>80</v>
      </c>
      <c r="L5" s="53" t="s">
        <v>72</v>
      </c>
      <c r="M5" s="37" t="s">
        <v>70</v>
      </c>
      <c r="N5" s="61" t="s">
        <v>133</v>
      </c>
      <c r="O5" s="37" t="s">
        <v>79</v>
      </c>
      <c r="P5" s="53" t="s">
        <v>72</v>
      </c>
      <c r="Q5" s="37" t="s">
        <v>70</v>
      </c>
      <c r="R5" s="61" t="s">
        <v>134</v>
      </c>
      <c r="S5" s="150"/>
      <c r="U5" s="45"/>
    </row>
    <row r="6" spans="1:19" ht="12.75">
      <c r="A6" s="25">
        <v>1</v>
      </c>
      <c r="B6" s="25">
        <v>2</v>
      </c>
      <c r="C6" s="16">
        <v>3</v>
      </c>
      <c r="D6" s="16">
        <v>4</v>
      </c>
      <c r="E6" s="36">
        <v>5</v>
      </c>
      <c r="F6" s="55">
        <v>6</v>
      </c>
      <c r="G6" s="55">
        <v>7</v>
      </c>
      <c r="H6" s="55">
        <v>8</v>
      </c>
      <c r="I6" s="36">
        <v>9</v>
      </c>
      <c r="J6" s="55">
        <v>10</v>
      </c>
      <c r="K6" s="56">
        <v>11</v>
      </c>
      <c r="L6" s="55">
        <v>12</v>
      </c>
      <c r="M6" s="55">
        <v>13</v>
      </c>
      <c r="N6" s="62">
        <v>14</v>
      </c>
      <c r="O6" s="55">
        <v>15</v>
      </c>
      <c r="P6" s="55">
        <v>16</v>
      </c>
      <c r="Q6" s="55">
        <v>17</v>
      </c>
      <c r="R6" s="62">
        <v>18</v>
      </c>
      <c r="S6" s="36">
        <v>19</v>
      </c>
    </row>
    <row r="7" spans="1:19" ht="25.5">
      <c r="A7" s="3">
        <v>1</v>
      </c>
      <c r="B7" s="2" t="s">
        <v>3</v>
      </c>
      <c r="C7" s="6">
        <f>'Коэф.масшт.'!C5</f>
        <v>12632</v>
      </c>
      <c r="D7" s="8">
        <f>'Коэф.масшт.'!D5</f>
        <v>0.7328625712476251</v>
      </c>
      <c r="E7" s="57">
        <f>((C7*D7/C7)/(C17*D17/C17))*'Расчет доли '!F7/100</f>
        <v>0.31984359375947485</v>
      </c>
      <c r="F7" s="6">
        <f>'Коэф.масшт.'!C5</f>
        <v>12632</v>
      </c>
      <c r="G7" s="41">
        <v>1.02</v>
      </c>
      <c r="H7" s="8">
        <f>'Коэф.масшт.'!D5</f>
        <v>0.7328625712476251</v>
      </c>
      <c r="I7" s="58">
        <f>((F7*G7*H7/F7)/(F17*G17*H17/F17))*'Расчет доли '!F9/100</f>
        <v>0.2934810933379981</v>
      </c>
      <c r="J7" s="6">
        <f>'Коэф.масшт.'!C5</f>
        <v>12632</v>
      </c>
      <c r="K7" s="52">
        <f>'Коэф. плот.авт.дорог'!D4</f>
        <v>0</v>
      </c>
      <c r="L7" s="41">
        <v>1.02</v>
      </c>
      <c r="M7" s="8">
        <f>'Коэф.масшт.'!D5</f>
        <v>0.7328625712476251</v>
      </c>
      <c r="N7" s="63">
        <f>(J7*L7*M7/J7)/(J17*L17*M17/J17)*'Расчет доли '!F8/100</f>
        <v>0.4382991553845563</v>
      </c>
      <c r="O7" s="6">
        <f>'Коэф.масшт.'!C5</f>
        <v>12632</v>
      </c>
      <c r="P7" s="41">
        <v>1.02</v>
      </c>
      <c r="Q7" s="8">
        <f>'Коэф.масшт.'!D5</f>
        <v>0.7328625712476251</v>
      </c>
      <c r="R7" s="63">
        <f>(P7*Q7)/(P17*Q17)*'Расчет доли '!F10/100</f>
        <v>0.1099790085686838</v>
      </c>
      <c r="S7" s="20">
        <f>E7+I7+N7+R7</f>
        <v>1.161602851050713</v>
      </c>
    </row>
    <row r="8" spans="1:19" ht="25.5">
      <c r="A8" s="3">
        <v>2</v>
      </c>
      <c r="B8" s="2" t="s">
        <v>4</v>
      </c>
      <c r="C8" s="6">
        <f>'Коэф.масшт.'!C6</f>
        <v>7876</v>
      </c>
      <c r="D8" s="8">
        <f>'Коэф.масшт.'!D6</f>
        <v>0.8130929405789741</v>
      </c>
      <c r="E8" s="57">
        <f>((C8*D8/C8)/(C17*D17/C17))*'Расчет доли '!F7/100</f>
        <v>0.35485857564332657</v>
      </c>
      <c r="F8" s="6">
        <f>'Коэф.масшт.'!C6</f>
        <v>7876</v>
      </c>
      <c r="G8" s="41">
        <v>1</v>
      </c>
      <c r="H8" s="8">
        <f>'Коэф.масшт.'!D6</f>
        <v>0.8130929405789741</v>
      </c>
      <c r="I8" s="58">
        <f>((F8*G8*H8/F8)/(F17*G17*H17/F17))*'Расчет доли '!F9/100</f>
        <v>0.3192255214495453</v>
      </c>
      <c r="J8" s="6">
        <f>'Коэф.масшт.'!C6</f>
        <v>7876</v>
      </c>
      <c r="K8" s="52">
        <f>'Коэф. плот.авт.дорог'!D5</f>
        <v>0</v>
      </c>
      <c r="L8" s="41">
        <v>1</v>
      </c>
      <c r="M8" s="8">
        <f>'Коэф.масшт.'!D6</f>
        <v>0.8130929405789741</v>
      </c>
      <c r="N8" s="63">
        <f>(L8*M8)/(L17*M17)*'Расчет доли '!F8/100</f>
        <v>0.47674715545437407</v>
      </c>
      <c r="O8" s="6">
        <f>'Коэф.масшт.'!C6</f>
        <v>7876</v>
      </c>
      <c r="P8" s="41">
        <v>1</v>
      </c>
      <c r="Q8" s="8">
        <f>'Коэф.масшт.'!D6</f>
        <v>0.8130929405789741</v>
      </c>
      <c r="R8" s="63">
        <f>(P8*Q8)/(P17*Q17)*'Расчет доли '!F10/100</f>
        <v>0.11962646710740095</v>
      </c>
      <c r="S8" s="20">
        <f aca="true" t="shared" si="0" ref="S8:S16">E8+I8+N8+R8</f>
        <v>1.270457719654647</v>
      </c>
    </row>
    <row r="9" spans="1:19" ht="25.5">
      <c r="A9" s="3">
        <v>3</v>
      </c>
      <c r="B9" s="2" t="s">
        <v>5</v>
      </c>
      <c r="C9" s="6">
        <f>'Коэф.масшт.'!C7</f>
        <v>1693</v>
      </c>
      <c r="D9" s="8">
        <f>'Коэф.масшт.'!D7</f>
        <v>1.5913290017720023</v>
      </c>
      <c r="E9" s="57">
        <f>((C9*D9/C9)/(C17*D17/C17))*'Расчет доли '!F7/100</f>
        <v>0.6945045452573102</v>
      </c>
      <c r="F9" s="6">
        <f>'Коэф.масшт.'!C7</f>
        <v>1693</v>
      </c>
      <c r="G9" s="41">
        <v>2</v>
      </c>
      <c r="H9" s="8">
        <f>'Коэф.масшт.'!D7</f>
        <v>1.5913290017720023</v>
      </c>
      <c r="I9" s="58">
        <f>((F9*G9*H9/F9)/(F17*G17*H17/F17))*'Расчет доли '!F9/100</f>
        <v>1.2495320154341238</v>
      </c>
      <c r="J9" s="6">
        <f>'Коэф.масшт.'!C7</f>
        <v>1693</v>
      </c>
      <c r="K9" s="52">
        <f>'Коэф. плот.авт.дорог'!D6</f>
        <v>0</v>
      </c>
      <c r="L9" s="41">
        <v>2</v>
      </c>
      <c r="M9" s="8">
        <f>'Коэф.масшт.'!D7</f>
        <v>1.5913290017720023</v>
      </c>
      <c r="N9" s="63">
        <f>(L9*M9)/(L17*M17)*'Расчет доли '!F8/100</f>
        <v>1.8661128073418896</v>
      </c>
      <c r="O9" s="6">
        <f>'Коэф.масшт.'!C7</f>
        <v>1693</v>
      </c>
      <c r="P9" s="41">
        <v>2</v>
      </c>
      <c r="Q9" s="8">
        <f>'Коэф.масшт.'!D7</f>
        <v>1.5913290017720023</v>
      </c>
      <c r="R9" s="63">
        <f>(P9*Q9)/(P17*Q17)*'Расчет доли '!F10/100</f>
        <v>0.4682492172468736</v>
      </c>
      <c r="S9" s="20">
        <f t="shared" si="0"/>
        <v>4.278398585280198</v>
      </c>
    </row>
    <row r="10" spans="1:19" ht="25.5">
      <c r="A10" s="3">
        <v>4</v>
      </c>
      <c r="B10" s="2" t="s">
        <v>6</v>
      </c>
      <c r="C10" s="6">
        <f>'Коэф.масшт.'!C8</f>
        <v>1433</v>
      </c>
      <c r="D10" s="8">
        <f>'Коэф.масшт.'!D8</f>
        <v>1.7711933007676204</v>
      </c>
      <c r="E10" s="57">
        <f>((C10*D10/C10)/(C17*D17/C17))*'Расчет доли '!F7/100</f>
        <v>0.7730028149695302</v>
      </c>
      <c r="F10" s="6">
        <f>'Коэф.масшт.'!C8</f>
        <v>1433</v>
      </c>
      <c r="G10" s="41">
        <v>1.61</v>
      </c>
      <c r="H10" s="8">
        <f>'Коэф.масшт.'!D8</f>
        <v>1.7711933007676204</v>
      </c>
      <c r="I10" s="58">
        <f>((F10*G10*H10/F10)/(F17*G17*H17/F17))*'Расчет доли '!F9/100</f>
        <v>1.119564841434771</v>
      </c>
      <c r="J10" s="6">
        <f>'Коэф.масшт.'!C8</f>
        <v>1433</v>
      </c>
      <c r="K10" s="52">
        <f>'Коэф. плот.авт.дорог'!D7</f>
        <v>0</v>
      </c>
      <c r="L10" s="41">
        <v>1.61</v>
      </c>
      <c r="M10" s="8">
        <f>'Коэф.масшт.'!D8</f>
        <v>1.7711933007676204</v>
      </c>
      <c r="N10" s="63">
        <f>(L10*M10)/(L17*M17)*'Расчет доли '!F8/100</f>
        <v>1.672013412577714</v>
      </c>
      <c r="O10" s="6">
        <f>'Коэф.масшт.'!C8</f>
        <v>1433</v>
      </c>
      <c r="P10" s="41">
        <v>1.61</v>
      </c>
      <c r="Q10" s="8">
        <f>'Коэф.масшт.'!D8</f>
        <v>1.7711933007676204</v>
      </c>
      <c r="R10" s="63">
        <f>(P10*Q10)/(P17*Q17)*'Расчет доли '!F10/100</f>
        <v>0.41954536113011637</v>
      </c>
      <c r="S10" s="20">
        <f t="shared" si="0"/>
        <v>3.9841264301121315</v>
      </c>
    </row>
    <row r="11" spans="1:19" ht="12.75">
      <c r="A11" s="3">
        <v>5</v>
      </c>
      <c r="B11" s="2" t="s">
        <v>7</v>
      </c>
      <c r="C11" s="6">
        <f>'Коэф.масшт.'!C9</f>
        <v>2201</v>
      </c>
      <c r="D11" s="8">
        <f>'Коэф.масшт.'!D9</f>
        <v>1.3625261244888687</v>
      </c>
      <c r="E11" s="57">
        <f>((C11*D11/C11)/(C17*D17/C17))*'Расчет доли '!F7/100</f>
        <v>0.5946479863281755</v>
      </c>
      <c r="F11" s="6">
        <f>'Коэф.масшт.'!C9</f>
        <v>2201</v>
      </c>
      <c r="G11" s="41">
        <v>1.31</v>
      </c>
      <c r="H11" s="8">
        <f>'Коэф.масшт.'!D9</f>
        <v>1.3625261244888687</v>
      </c>
      <c r="I11" s="58">
        <f>((F11*G11*H11/F11)/(F17*G17*H17/F17))*'Расчет доли '!F9/100</f>
        <v>0.7007668484641171</v>
      </c>
      <c r="J11" s="6">
        <f>'Коэф.масшт.'!C9</f>
        <v>2201</v>
      </c>
      <c r="K11" s="52">
        <f>'Коэф. плот.авт.дорог'!D8</f>
        <v>0</v>
      </c>
      <c r="L11" s="41">
        <v>1.31</v>
      </c>
      <c r="M11" s="8">
        <f>'Коэф.масшт.'!D9</f>
        <v>1.3625261244888687</v>
      </c>
      <c r="N11" s="63">
        <f>(L11*M11)/(L17*M17)*'Расчет доли '!F8/100</f>
        <v>1.0465598117749433</v>
      </c>
      <c r="O11" s="6">
        <f>'Коэф.масшт.'!C9</f>
        <v>2201</v>
      </c>
      <c r="P11" s="41">
        <v>1.31</v>
      </c>
      <c r="Q11" s="8">
        <f>'Коэф.масшт.'!D9</f>
        <v>1.3625261244888687</v>
      </c>
      <c r="R11" s="63">
        <f>(P11*Q11)/(P17*Q17)*'Расчет доли '!F10/100</f>
        <v>0.2626051387341829</v>
      </c>
      <c r="S11" s="20">
        <f t="shared" si="0"/>
        <v>2.6045797853014188</v>
      </c>
    </row>
    <row r="12" spans="1:19" ht="12.75">
      <c r="A12" s="3">
        <v>6</v>
      </c>
      <c r="B12" s="2" t="s">
        <v>8</v>
      </c>
      <c r="C12" s="6">
        <f>'Коэф.масшт.'!C10</f>
        <v>2427</v>
      </c>
      <c r="D12" s="8">
        <f>'Коэф.масшт.'!D10</f>
        <v>1.291520395550062</v>
      </c>
      <c r="E12" s="57">
        <f>((C12*D12/C12)/(C17*D17/C17))*'Расчет доли '!F7/100</f>
        <v>0.5636589190564819</v>
      </c>
      <c r="F12" s="6">
        <f>'Коэф.масшт.'!C10</f>
        <v>2427</v>
      </c>
      <c r="G12" s="41">
        <v>1.03</v>
      </c>
      <c r="H12" s="8">
        <f>'Коэф.масшт.'!D10</f>
        <v>1.291520395550062</v>
      </c>
      <c r="I12" s="58">
        <f>((F12*G12*H12/F12)/(F17*G17*H17/F17))*'Расчет доли '!F9/100</f>
        <v>0.5222709959599157</v>
      </c>
      <c r="J12" s="6">
        <f>'Коэф.масшт.'!C10</f>
        <v>2427</v>
      </c>
      <c r="K12" s="52">
        <f>'Коэф. плот.авт.дорог'!D9</f>
        <v>0</v>
      </c>
      <c r="L12" s="41">
        <v>1.03</v>
      </c>
      <c r="M12" s="8">
        <f>'Коэф.масшт.'!D10</f>
        <v>1.291520395550062</v>
      </c>
      <c r="N12" s="63">
        <f>(L12*M12)/(L17*M17)*'Расчет доли '!F8/100</f>
        <v>0.779985292433978</v>
      </c>
      <c r="O12" s="6">
        <f>'Коэф.масшт.'!C10</f>
        <v>2427</v>
      </c>
      <c r="P12" s="41">
        <v>1.03</v>
      </c>
      <c r="Q12" s="8">
        <f>'Коэф.масшт.'!D10</f>
        <v>1.291520395550062</v>
      </c>
      <c r="R12" s="63">
        <f>(P12*Q12)/(P17*Q17)*'Расчет доли '!F10/100</f>
        <v>0.19571566156631107</v>
      </c>
      <c r="S12" s="20">
        <f t="shared" si="0"/>
        <v>2.0616308690166862</v>
      </c>
    </row>
    <row r="13" spans="1:19" ht="25.5">
      <c r="A13" s="3">
        <v>7</v>
      </c>
      <c r="B13" s="2" t="s">
        <v>9</v>
      </c>
      <c r="C13" s="6">
        <f>'Коэф.масшт.'!C11</f>
        <v>3225</v>
      </c>
      <c r="D13" s="8">
        <f>'Коэф.масшт.'!D11</f>
        <v>1.1204093023255814</v>
      </c>
      <c r="E13" s="57">
        <f>((C13*D13/C13)/(C17*D17/C17))*'Расчет доли '!F7/100</f>
        <v>0.48898081549900296</v>
      </c>
      <c r="F13" s="6">
        <f>'Коэф.масшт.'!C11</f>
        <v>3225</v>
      </c>
      <c r="G13" s="41">
        <v>1.38</v>
      </c>
      <c r="H13" s="8">
        <f>'Коэф.масшт.'!D11</f>
        <v>1.1204093023255814</v>
      </c>
      <c r="I13" s="58">
        <f>((F13*G13*H13/F13)/(F17*G17*H17/F17))*'Расчет доли '!F9/100</f>
        <v>0.6070342660380666</v>
      </c>
      <c r="J13" s="6">
        <f>'Коэф.масшт.'!C11</f>
        <v>3225</v>
      </c>
      <c r="K13" s="52">
        <f>'Коэф. плот.авт.дорог'!D10</f>
        <v>0</v>
      </c>
      <c r="L13" s="41">
        <v>1.38</v>
      </c>
      <c r="M13" s="8">
        <f>'Коэф.масшт.'!D11</f>
        <v>1.1204093023255814</v>
      </c>
      <c r="N13" s="63">
        <f>(L13*M13)/(L17*M17)*'Расчет доли '!F8/100</f>
        <v>0.9065749451449263</v>
      </c>
      <c r="O13" s="6">
        <f>'Коэф.масшт.'!C11</f>
        <v>3225</v>
      </c>
      <c r="P13" s="41">
        <v>1.38</v>
      </c>
      <c r="Q13" s="8">
        <f>'Коэф.масшт.'!D11</f>
        <v>1.1204093023255814</v>
      </c>
      <c r="R13" s="63">
        <f>(P13*Q13)/(P17*Q17)*'Расчет доли '!F10/100</f>
        <v>0.22747982156791768</v>
      </c>
      <c r="S13" s="20">
        <f t="shared" si="0"/>
        <v>2.2300698482499133</v>
      </c>
    </row>
    <row r="14" spans="1:19" ht="25.5">
      <c r="A14" s="3">
        <v>8</v>
      </c>
      <c r="B14" s="2" t="s">
        <v>10</v>
      </c>
      <c r="C14" s="6">
        <f>'Коэф.масшт.'!C12</f>
        <v>2486</v>
      </c>
      <c r="D14" s="8">
        <f>'Коэф.масшт.'!D12</f>
        <v>1.2751086082059533</v>
      </c>
      <c r="E14" s="57">
        <f>((C14*D14/C14)/(C17*D17/C17))*'Расчет доли '!F7/100</f>
        <v>0.5564963141560573</v>
      </c>
      <c r="F14" s="6">
        <f>'Коэф.масшт.'!C12</f>
        <v>2486</v>
      </c>
      <c r="G14" s="41">
        <v>1.03</v>
      </c>
      <c r="H14" s="8">
        <f>'Коэф.масшт.'!D12</f>
        <v>1.2751086082059533</v>
      </c>
      <c r="I14" s="58">
        <f>((F14*G14*H14/F14)/(F17*G17*H17/F17))*'Расчет доли '!F9/100</f>
        <v>0.5156343214240564</v>
      </c>
      <c r="J14" s="6">
        <f>'Коэф.масшт.'!C12</f>
        <v>2486</v>
      </c>
      <c r="K14" s="52">
        <f>'Коэф. плот.авт.дорог'!D11</f>
        <v>0</v>
      </c>
      <c r="L14" s="41">
        <v>1.03</v>
      </c>
      <c r="M14" s="8">
        <f>'Коэф.масшт.'!D12</f>
        <v>1.2751086082059533</v>
      </c>
      <c r="N14" s="63">
        <f>(L14*M14)/(L17*M17)*'Расчет доли '!F8/100</f>
        <v>0.7700737549971209</v>
      </c>
      <c r="O14" s="6">
        <f>'Коэф.масшт.'!C12</f>
        <v>2486</v>
      </c>
      <c r="P14" s="41">
        <v>1.03</v>
      </c>
      <c r="Q14" s="8">
        <f>'Коэф.масшт.'!D12</f>
        <v>1.2751086082059533</v>
      </c>
      <c r="R14" s="63">
        <f>(P14*Q14)/(P17*Q17)*'Расчет доли '!F10/100</f>
        <v>0.1932286363295398</v>
      </c>
      <c r="S14" s="20">
        <f t="shared" si="0"/>
        <v>2.0354330269067744</v>
      </c>
    </row>
    <row r="15" spans="1:19" ht="25.5">
      <c r="A15" s="3">
        <v>9</v>
      </c>
      <c r="B15" s="2" t="s">
        <v>11</v>
      </c>
      <c r="C15" s="6">
        <f>'Коэф.масшт.'!C13</f>
        <v>2709</v>
      </c>
      <c r="D15" s="8">
        <f>'Коэф.масшт.'!D13</f>
        <v>1.2195348837209303</v>
      </c>
      <c r="E15" s="57">
        <f>((C15*D15/C15)/(C17*D17/C17))*'Расчет доли '!F7/100</f>
        <v>0.5322422446275389</v>
      </c>
      <c r="F15" s="6">
        <f>'Коэф.масшт.'!C13</f>
        <v>2709</v>
      </c>
      <c r="G15" s="41">
        <v>1</v>
      </c>
      <c r="H15" s="8">
        <f>'Коэф.масшт.'!D13</f>
        <v>1.2195348837209303</v>
      </c>
      <c r="I15" s="58">
        <f>((F15*G15*H15/F15)/(F17*G17*H17/F17))*'Расчет доли '!F9/100</f>
        <v>0.47879724414347197</v>
      </c>
      <c r="J15" s="6">
        <f>'Коэф.масшт.'!C13</f>
        <v>2709</v>
      </c>
      <c r="K15" s="52">
        <f>'Коэф. плот.авт.дорог'!D12</f>
        <v>0</v>
      </c>
      <c r="L15" s="41">
        <v>1</v>
      </c>
      <c r="M15" s="8">
        <f>'Коэф.масшт.'!D13</f>
        <v>1.2195348837209303</v>
      </c>
      <c r="N15" s="63">
        <f>(L15*M15)/(L17*M17)*'Расчет доли '!F8/100</f>
        <v>0.715059444960048</v>
      </c>
      <c r="O15" s="6">
        <f>'Коэф.масшт.'!C13</f>
        <v>2709</v>
      </c>
      <c r="P15" s="41">
        <v>1</v>
      </c>
      <c r="Q15" s="8">
        <f>'Коэф.масшт.'!D13</f>
        <v>1.2195348837209303</v>
      </c>
      <c r="R15" s="63">
        <f>(P15*Q15)/(P17*Q17)*'Расчет доли '!F10/100</f>
        <v>0.17942432208289485</v>
      </c>
      <c r="S15" s="20">
        <f t="shared" si="0"/>
        <v>1.9055232558139537</v>
      </c>
    </row>
    <row r="16" spans="1:19" ht="25.5">
      <c r="A16" s="4">
        <v>10</v>
      </c>
      <c r="B16" s="2" t="s">
        <v>12</v>
      </c>
      <c r="C16" s="6">
        <f>'Коэф.масшт.'!C14</f>
        <v>5276</v>
      </c>
      <c r="D16" s="8">
        <f>'Коэф.масшт.'!D14</f>
        <v>0.9181046247156938</v>
      </c>
      <c r="E16" s="57">
        <f>((C16*D16/C16)/(C17*D17/C17))*'Расчет доли '!F7/100</f>
        <v>0.4006888796576853</v>
      </c>
      <c r="F16" s="6">
        <f>'Коэф.масшт.'!C14</f>
        <v>5276</v>
      </c>
      <c r="G16" s="41">
        <v>1.04</v>
      </c>
      <c r="H16" s="8">
        <f>'Коэф.масшт.'!D14</f>
        <v>0.9181046247156938</v>
      </c>
      <c r="I16" s="58">
        <f>((F16*G16*H16/F16)/(F17*G17*H17/F17))*'Расчет доли '!F9/100</f>
        <v>0.37487193586488354</v>
      </c>
      <c r="J16" s="6">
        <f>'Коэф.масшт.'!C14</f>
        <v>5276</v>
      </c>
      <c r="K16" s="52">
        <f>'Коэф. плот.авт.дорог'!D13</f>
        <v>0</v>
      </c>
      <c r="L16" s="41">
        <v>1.04</v>
      </c>
      <c r="M16" s="8">
        <f>'Коэф.масшт.'!D14</f>
        <v>0.9181046247156938</v>
      </c>
      <c r="N16" s="63">
        <f>(L16*M16)/(L17*M17)*'Расчет доли '!F8/100</f>
        <v>0.559852258277241</v>
      </c>
      <c r="O16" s="6">
        <f>'Коэф.масшт.'!C14</f>
        <v>5276</v>
      </c>
      <c r="P16" s="41">
        <v>1.04</v>
      </c>
      <c r="Q16" s="8">
        <f>'Коэф.масшт.'!D14</f>
        <v>0.9181046247156938</v>
      </c>
      <c r="R16" s="63">
        <f>(P16*Q16)/(P17*Q17)*'Расчет доли '!F10/100</f>
        <v>0.14047938617688513</v>
      </c>
      <c r="S16" s="20">
        <f t="shared" si="0"/>
        <v>1.475892459976695</v>
      </c>
    </row>
    <row r="17" spans="1:19" ht="19.5" customHeight="1">
      <c r="A17" s="3"/>
      <c r="B17" s="11" t="s">
        <v>71</v>
      </c>
      <c r="C17" s="17">
        <f>SUM(C7:C16)</f>
        <v>41958</v>
      </c>
      <c r="D17" s="15">
        <f>'Коэф.масшт.'!D15</f>
        <v>0.64</v>
      </c>
      <c r="E17" s="57"/>
      <c r="F17" s="49">
        <f>SUM(F7:F16)</f>
        <v>41958</v>
      </c>
      <c r="G17" s="57">
        <v>1</v>
      </c>
      <c r="H17" s="15">
        <f>'Коэф.масшт.'!D15</f>
        <v>0.64</v>
      </c>
      <c r="I17" s="58"/>
      <c r="J17" s="49">
        <f>SUM(J7:J16)</f>
        <v>41958</v>
      </c>
      <c r="K17" s="58">
        <v>1</v>
      </c>
      <c r="L17" s="57">
        <v>1</v>
      </c>
      <c r="M17" s="15">
        <f>'Коэф.масшт.'!D15</f>
        <v>0.64</v>
      </c>
      <c r="N17" s="63"/>
      <c r="O17" s="49">
        <f>SUM(O7:O16)</f>
        <v>41958</v>
      </c>
      <c r="P17" s="57">
        <f>G17</f>
        <v>1</v>
      </c>
      <c r="Q17" s="15">
        <f>'Коэф.масшт.'!D15</f>
        <v>0.64</v>
      </c>
      <c r="R17" s="63"/>
      <c r="S17" s="9"/>
    </row>
    <row r="18" spans="2:18" ht="12.75">
      <c r="B18" s="1"/>
      <c r="C18" s="1"/>
      <c r="D18" s="1"/>
      <c r="E18" s="68"/>
      <c r="F18" s="59"/>
      <c r="G18" s="59"/>
      <c r="H18" s="59"/>
      <c r="I18" s="66"/>
      <c r="J18" s="60"/>
      <c r="K18" s="46"/>
      <c r="L18" s="60"/>
      <c r="M18" s="60"/>
      <c r="N18" s="64"/>
      <c r="O18" s="47"/>
      <c r="P18" s="47"/>
      <c r="Q18" s="47"/>
      <c r="R18" s="64"/>
    </row>
    <row r="19" spans="2:4" ht="12.75">
      <c r="B19" s="154"/>
      <c r="C19" s="154"/>
      <c r="D19" s="154"/>
    </row>
  </sheetData>
  <sheetProtection/>
  <mergeCells count="9">
    <mergeCell ref="B19:D19"/>
    <mergeCell ref="S4:S5"/>
    <mergeCell ref="A2:O2"/>
    <mergeCell ref="A4:A5"/>
    <mergeCell ref="B4:B5"/>
    <mergeCell ref="C4:E4"/>
    <mergeCell ref="F4:I4"/>
    <mergeCell ref="J4:N4"/>
    <mergeCell ref="O4:R4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9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M18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33.875" style="47" customWidth="1"/>
    <col min="2" max="2" width="9.875" style="47" customWidth="1"/>
    <col min="3" max="3" width="10.75390625" style="112" customWidth="1"/>
    <col min="4" max="4" width="12.25390625" style="64" customWidth="1"/>
    <col min="5" max="5" width="9.375" style="47" customWidth="1"/>
    <col min="6" max="6" width="9.00390625" style="112" customWidth="1"/>
    <col min="7" max="7" width="10.625" style="64" customWidth="1"/>
    <col min="8" max="12" width="9.125" style="47" customWidth="1"/>
  </cols>
  <sheetData>
    <row r="1" ht="2.25" customHeight="1"/>
    <row r="2" spans="1:12" ht="60" customHeight="1">
      <c r="A2" s="165" t="s">
        <v>167</v>
      </c>
      <c r="B2" s="165"/>
      <c r="C2" s="165"/>
      <c r="D2" s="165"/>
      <c r="E2" s="165"/>
      <c r="F2" s="165"/>
      <c r="G2" s="165"/>
      <c r="H2" s="165"/>
      <c r="I2" s="165"/>
      <c r="J2" s="165"/>
      <c r="K2" s="123"/>
      <c r="L2" s="123"/>
    </row>
    <row r="3" spans="2:13" ht="32.25" customHeight="1">
      <c r="B3" s="166" t="s">
        <v>116</v>
      </c>
      <c r="C3" s="166"/>
      <c r="D3" s="166"/>
      <c r="E3" s="168" t="s">
        <v>118</v>
      </c>
      <c r="F3" s="169"/>
      <c r="G3" s="170"/>
      <c r="H3" s="166" t="s">
        <v>109</v>
      </c>
      <c r="I3" s="166"/>
      <c r="J3" s="166"/>
      <c r="K3" s="124"/>
      <c r="L3" s="124"/>
      <c r="M3" s="91"/>
    </row>
    <row r="4" spans="1:12" ht="121.5" customHeight="1">
      <c r="A4" s="105" t="s">
        <v>1</v>
      </c>
      <c r="B4" s="106" t="s">
        <v>86</v>
      </c>
      <c r="C4" s="107" t="s">
        <v>87</v>
      </c>
      <c r="D4" s="108" t="s">
        <v>88</v>
      </c>
      <c r="E4" s="106" t="s">
        <v>86</v>
      </c>
      <c r="F4" s="107" t="s">
        <v>87</v>
      </c>
      <c r="G4" s="108" t="s">
        <v>119</v>
      </c>
      <c r="H4" s="37" t="s">
        <v>86</v>
      </c>
      <c r="I4" s="109" t="s">
        <v>87</v>
      </c>
      <c r="J4" s="110" t="s">
        <v>88</v>
      </c>
      <c r="K4" s="129"/>
      <c r="L4" s="128"/>
    </row>
    <row r="5" spans="1:12" ht="12.75">
      <c r="A5" s="55">
        <v>1</v>
      </c>
      <c r="B5" s="55">
        <v>2</v>
      </c>
      <c r="C5" s="97">
        <v>3</v>
      </c>
      <c r="D5" s="111">
        <v>4</v>
      </c>
      <c r="E5" s="55"/>
      <c r="F5" s="97"/>
      <c r="G5" s="111"/>
      <c r="H5" s="4"/>
      <c r="I5" s="4"/>
      <c r="J5" s="4"/>
      <c r="K5" s="125"/>
      <c r="L5" s="125"/>
    </row>
    <row r="6" spans="1:13" ht="16.5" customHeight="1">
      <c r="A6" s="96" t="s">
        <v>3</v>
      </c>
      <c r="B6" s="93">
        <f>ИДП!D4</f>
        <v>1.0198626911045505</v>
      </c>
      <c r="C6" s="93">
        <f>ИБР!S7</f>
        <v>1.161602851050713</v>
      </c>
      <c r="D6" s="63">
        <f>B6/C6</f>
        <v>0.8779788119339125</v>
      </c>
      <c r="E6" s="121">
        <f>ИДП!G4</f>
        <v>1.0019567585007387</v>
      </c>
      <c r="F6" s="93">
        <f>ИБР!S7</f>
        <v>1.161602851050713</v>
      </c>
      <c r="G6" s="63">
        <f>E6/F6</f>
        <v>0.8625639628849322</v>
      </c>
      <c r="H6" s="93">
        <f>ИДП!J4</f>
        <v>0.9865067991935136</v>
      </c>
      <c r="I6" s="93">
        <f>ИБР!S7</f>
        <v>1.161602851050713</v>
      </c>
      <c r="J6" s="63">
        <f>H6/I6</f>
        <v>0.8492634107269807</v>
      </c>
      <c r="K6" s="126"/>
      <c r="L6" s="126"/>
      <c r="M6" s="35"/>
    </row>
    <row r="7" spans="1:13" ht="17.25" customHeight="1">
      <c r="A7" s="96" t="s">
        <v>4</v>
      </c>
      <c r="B7" s="93">
        <f>ИДП!D5</f>
        <v>0.40818103599244143</v>
      </c>
      <c r="C7" s="93">
        <f>ИБР!S8</f>
        <v>1.270457719654647</v>
      </c>
      <c r="D7" s="63">
        <f>B7/C7</f>
        <v>0.32128659590765346</v>
      </c>
      <c r="E7" s="121">
        <f>ИДП!G5</f>
        <v>0.4191264940376266</v>
      </c>
      <c r="F7" s="93">
        <f>ИБР!S8</f>
        <v>1.270457719654647</v>
      </c>
      <c r="G7" s="63">
        <f aca="true" t="shared" si="0" ref="G7:G15">E7/F7</f>
        <v>0.32990196175246134</v>
      </c>
      <c r="H7" s="93">
        <f>ИДП!J5</f>
        <v>0.4126932075031971</v>
      </c>
      <c r="I7" s="93">
        <f>ИБР!S8</f>
        <v>1.270457719654647</v>
      </c>
      <c r="J7" s="63">
        <f aca="true" t="shared" si="1" ref="J7:J15">H7/I7</f>
        <v>0.324838206827836</v>
      </c>
      <c r="K7" s="126"/>
      <c r="L7" s="126"/>
      <c r="M7" s="35"/>
    </row>
    <row r="8" spans="1:13" ht="15.75" customHeight="1">
      <c r="A8" s="96" t="s">
        <v>5</v>
      </c>
      <c r="B8" s="93">
        <f>ИДП!D6</f>
        <v>0.5250598704560095</v>
      </c>
      <c r="C8" s="93">
        <f>ИБР!S9</f>
        <v>4.278398585280198</v>
      </c>
      <c r="D8" s="63">
        <f aca="true" t="shared" si="2" ref="D8:D14">B8/C8</f>
        <v>0.12272345831977287</v>
      </c>
      <c r="E8" s="121">
        <f>ИДП!G6</f>
        <v>0.6073114528062601</v>
      </c>
      <c r="F8" s="93">
        <f>ИБР!S9</f>
        <v>4.278398585280198</v>
      </c>
      <c r="G8" s="63">
        <f t="shared" si="0"/>
        <v>0.14194831096282406</v>
      </c>
      <c r="H8" s="93">
        <f>ИДП!J6</f>
        <v>0.7888559667343221</v>
      </c>
      <c r="I8" s="93">
        <f>ИБР!S9</f>
        <v>4.278398585280198</v>
      </c>
      <c r="J8" s="63">
        <f t="shared" si="1"/>
        <v>0.18438113023138514</v>
      </c>
      <c r="K8" s="126"/>
      <c r="L8" s="126"/>
      <c r="M8" s="35"/>
    </row>
    <row r="9" spans="1:13" ht="17.25" customHeight="1">
      <c r="A9" s="96" t="s">
        <v>6</v>
      </c>
      <c r="B9" s="93">
        <f>ИДП!D7</f>
        <v>2.013906190998973</v>
      </c>
      <c r="C9" s="93">
        <f>ИБР!S10</f>
        <v>3.9841264301121315</v>
      </c>
      <c r="D9" s="63">
        <f t="shared" si="2"/>
        <v>0.5054825007002332</v>
      </c>
      <c r="E9" s="121">
        <f>ИДП!G7</f>
        <v>2.00901981526751</v>
      </c>
      <c r="F9" s="93">
        <f>ИБР!S10</f>
        <v>3.9841264301121315</v>
      </c>
      <c r="G9" s="63">
        <f t="shared" si="0"/>
        <v>0.5042560396887221</v>
      </c>
      <c r="H9" s="93">
        <f>ИДП!J7</f>
        <v>1.9780411586239468</v>
      </c>
      <c r="I9" s="93">
        <f>ИБР!S10</f>
        <v>3.9841264301121315</v>
      </c>
      <c r="J9" s="63">
        <f t="shared" si="1"/>
        <v>0.4964805192109016</v>
      </c>
      <c r="K9" s="126"/>
      <c r="L9" s="126"/>
      <c r="M9" s="35"/>
    </row>
    <row r="10" spans="1:13" ht="18" customHeight="1">
      <c r="A10" s="96" t="s">
        <v>7</v>
      </c>
      <c r="B10" s="93">
        <f>ИДП!D8</f>
        <v>0.7296235375363971</v>
      </c>
      <c r="C10" s="93">
        <f>ИБР!S11</f>
        <v>2.6045797853014188</v>
      </c>
      <c r="D10" s="63">
        <f t="shared" si="2"/>
        <v>0.2801309991169882</v>
      </c>
      <c r="E10" s="121">
        <f>ИДП!G8</f>
        <v>0.7577904086153396</v>
      </c>
      <c r="F10" s="93">
        <f>ИБР!S11</f>
        <v>2.6045797853014188</v>
      </c>
      <c r="G10" s="63">
        <f t="shared" si="0"/>
        <v>0.29094536204719995</v>
      </c>
      <c r="H10" s="93">
        <f>ИДП!J8</f>
        <v>0.7702421756471666</v>
      </c>
      <c r="I10" s="93">
        <f>ИБР!S11</f>
        <v>2.6045797853014188</v>
      </c>
      <c r="J10" s="63">
        <f t="shared" si="1"/>
        <v>0.29572608218566404</v>
      </c>
      <c r="K10" s="126"/>
      <c r="L10" s="126"/>
      <c r="M10" s="35"/>
    </row>
    <row r="11" spans="1:13" ht="19.5" customHeight="1">
      <c r="A11" s="96" t="s">
        <v>8</v>
      </c>
      <c r="B11" s="93">
        <f>ИДП!D9</f>
        <v>0.8226139863844378</v>
      </c>
      <c r="C11" s="93">
        <f>ИБР!S12</f>
        <v>2.0616308690166862</v>
      </c>
      <c r="D11" s="63">
        <f t="shared" si="2"/>
        <v>0.39901128700929434</v>
      </c>
      <c r="E11" s="121">
        <f>ИДП!G9</f>
        <v>0.8318138790369745</v>
      </c>
      <c r="F11" s="93">
        <f>ИБР!S12</f>
        <v>2.0616308690166862</v>
      </c>
      <c r="G11" s="63">
        <f t="shared" si="0"/>
        <v>0.40347372147843114</v>
      </c>
      <c r="H11" s="93">
        <f>ИДП!J9</f>
        <v>0.8189874866070892</v>
      </c>
      <c r="I11" s="93">
        <f>ИБР!S12</f>
        <v>2.0616308690166862</v>
      </c>
      <c r="J11" s="63">
        <f t="shared" si="1"/>
        <v>0.39725224283128474</v>
      </c>
      <c r="K11" s="126"/>
      <c r="L11" s="126"/>
      <c r="M11" s="35"/>
    </row>
    <row r="12" spans="1:13" ht="18" customHeight="1">
      <c r="A12" s="96" t="s">
        <v>9</v>
      </c>
      <c r="B12" s="93">
        <f>ИДП!D10</f>
        <v>0.4909211862204519</v>
      </c>
      <c r="C12" s="93">
        <f>ИБР!S13</f>
        <v>2.2300698482499133</v>
      </c>
      <c r="D12" s="63">
        <f t="shared" si="2"/>
        <v>0.2201371345411943</v>
      </c>
      <c r="E12" s="121">
        <f>ИДП!G10</f>
        <v>0.522186571865885</v>
      </c>
      <c r="F12" s="93">
        <f>ИБР!S13</f>
        <v>2.2300698482499133</v>
      </c>
      <c r="G12" s="63">
        <f t="shared" si="0"/>
        <v>0.234157047715649</v>
      </c>
      <c r="H12" s="93">
        <f>ИДП!J10</f>
        <v>0.5648507843833488</v>
      </c>
      <c r="I12" s="93">
        <f>ИБР!S13</f>
        <v>2.2300698482499133</v>
      </c>
      <c r="J12" s="63">
        <f t="shared" si="1"/>
        <v>0.25328838234668993</v>
      </c>
      <c r="K12" s="126"/>
      <c r="L12" s="126"/>
      <c r="M12" s="35"/>
    </row>
    <row r="13" spans="1:13" ht="28.5" customHeight="1">
      <c r="A13" s="96" t="s">
        <v>10</v>
      </c>
      <c r="B13" s="93">
        <f>ИДП!D11</f>
        <v>0.4627952842035337</v>
      </c>
      <c r="C13" s="93">
        <f>ИБР!S14</f>
        <v>2.0354330269067744</v>
      </c>
      <c r="D13" s="63">
        <f t="shared" si="2"/>
        <v>0.22736944821360136</v>
      </c>
      <c r="E13" s="121">
        <f>ИДП!G11</f>
        <v>0.49054532220079294</v>
      </c>
      <c r="F13" s="93">
        <f>ИБР!S14</f>
        <v>2.0354330269067744</v>
      </c>
      <c r="G13" s="63">
        <f t="shared" si="0"/>
        <v>0.24100292945834204</v>
      </c>
      <c r="H13" s="93">
        <f>ИДП!J11</f>
        <v>0.5259646155016419</v>
      </c>
      <c r="I13" s="93">
        <f>ИБР!S14</f>
        <v>2.0354330269067744</v>
      </c>
      <c r="J13" s="63">
        <f t="shared" si="1"/>
        <v>0.25840428476339733</v>
      </c>
      <c r="K13" s="126"/>
      <c r="L13" s="126"/>
      <c r="M13" s="35"/>
    </row>
    <row r="14" spans="1:13" ht="20.25" customHeight="1">
      <c r="A14" s="96" t="s">
        <v>11</v>
      </c>
      <c r="B14" s="93">
        <f>ИДП!D12</f>
        <v>1.0597006660247958</v>
      </c>
      <c r="C14" s="93">
        <f>ИБР!S15</f>
        <v>1.9055232558139537</v>
      </c>
      <c r="D14" s="63">
        <f t="shared" si="2"/>
        <v>0.5561205631007319</v>
      </c>
      <c r="E14" s="121">
        <f>ИДП!G12</f>
        <v>1.0522079226404868</v>
      </c>
      <c r="F14" s="93">
        <f>ИБР!S15</f>
        <v>1.9055232558139537</v>
      </c>
      <c r="G14" s="63">
        <f t="shared" si="0"/>
        <v>0.5521884445283408</v>
      </c>
      <c r="H14" s="93">
        <f>ИДП!J12</f>
        <v>1.0359831011104033</v>
      </c>
      <c r="I14" s="93">
        <f>ИБР!S15</f>
        <v>1.9055232558139537</v>
      </c>
      <c r="J14" s="63">
        <f t="shared" si="1"/>
        <v>0.5436738166010354</v>
      </c>
      <c r="K14" s="126"/>
      <c r="L14" s="126"/>
      <c r="M14" s="35"/>
    </row>
    <row r="15" spans="1:13" ht="18.75" customHeight="1">
      <c r="A15" s="96" t="s">
        <v>12</v>
      </c>
      <c r="B15" s="93">
        <f>ИДП!D13</f>
        <v>2.440970840917844</v>
      </c>
      <c r="C15" s="93">
        <f>ИБР!S16</f>
        <v>1.475892459976695</v>
      </c>
      <c r="D15" s="63">
        <f>B15/C15</f>
        <v>1.6538947837408073</v>
      </c>
      <c r="E15" s="121">
        <f>ИДП!G13</f>
        <v>2.3981142291929776</v>
      </c>
      <c r="F15" s="93">
        <f>ИБР!S16</f>
        <v>1.475892459976695</v>
      </c>
      <c r="G15" s="63">
        <f t="shared" si="0"/>
        <v>1.624857023275832</v>
      </c>
      <c r="H15" s="93">
        <f>ИДП!J13</f>
        <v>2.361135819754881</v>
      </c>
      <c r="I15" s="93">
        <f>ИБР!S16</f>
        <v>1.475892459976695</v>
      </c>
      <c r="J15" s="63">
        <f t="shared" si="1"/>
        <v>1.5998020748694417</v>
      </c>
      <c r="K15" s="126"/>
      <c r="L15" s="126"/>
      <c r="M15" s="35"/>
    </row>
    <row r="16" spans="1:12" ht="18.75" customHeight="1">
      <c r="A16" s="48" t="s">
        <v>71</v>
      </c>
      <c r="B16" s="49"/>
      <c r="C16" s="93"/>
      <c r="D16" s="63"/>
      <c r="E16" s="121">
        <f>ИДП!G14</f>
        <v>0</v>
      </c>
      <c r="F16" s="93"/>
      <c r="G16" s="63"/>
      <c r="H16" s="93"/>
      <c r="I16" s="93"/>
      <c r="J16" s="93"/>
      <c r="K16" s="127"/>
      <c r="L16" s="127"/>
    </row>
    <row r="17" spans="1:12" ht="24" customHeight="1">
      <c r="A17" s="88" t="s">
        <v>98</v>
      </c>
      <c r="D17" s="64">
        <f>(D6+D15+D8+D12)/4</f>
        <v>0.7186835471339218</v>
      </c>
      <c r="H17" s="112"/>
      <c r="I17" s="112"/>
      <c r="J17" s="64"/>
      <c r="K17" s="64"/>
      <c r="L17" s="64"/>
    </row>
    <row r="18" spans="1:5" ht="18.75" customHeight="1">
      <c r="A18" s="167"/>
      <c r="B18" s="167"/>
      <c r="C18" s="167"/>
      <c r="D18" s="112"/>
      <c r="E18" s="113"/>
    </row>
  </sheetData>
  <sheetProtection/>
  <mergeCells count="5">
    <mergeCell ref="A2:J2"/>
    <mergeCell ref="H3:J3"/>
    <mergeCell ref="A18:C18"/>
    <mergeCell ref="B3:D3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2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4" sqref="I24"/>
    </sheetView>
  </sheetViews>
  <sheetFormatPr defaultColWidth="9.00390625" defaultRowHeight="12.75"/>
  <cols>
    <col min="2" max="2" width="23.125" style="0" customWidth="1"/>
    <col min="3" max="3" width="10.25390625" style="0" customWidth="1"/>
    <col min="4" max="4" width="9.875" style="0" customWidth="1"/>
    <col min="5" max="5" width="12.125" style="0" customWidth="1"/>
    <col min="6" max="6" width="10.375" style="0" customWidth="1"/>
    <col min="7" max="7" width="10.00390625" style="0" customWidth="1"/>
    <col min="9" max="9" width="10.375" style="0" customWidth="1"/>
    <col min="10" max="10" width="10.625" style="0" customWidth="1"/>
    <col min="13" max="13" width="10.00390625" style="0" customWidth="1"/>
    <col min="14" max="14" width="10.875" style="0" customWidth="1"/>
  </cols>
  <sheetData>
    <row r="2" spans="1:14" ht="12.75" customHeight="1">
      <c r="A2" s="171" t="s">
        <v>168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33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5" spans="1:14" ht="25.5" customHeight="1">
      <c r="A5" s="172" t="s">
        <v>0</v>
      </c>
      <c r="B5" s="172" t="s">
        <v>1</v>
      </c>
      <c r="C5" s="150" t="s">
        <v>111</v>
      </c>
      <c r="D5" s="150"/>
      <c r="E5" s="150"/>
      <c r="F5" s="150" t="s">
        <v>102</v>
      </c>
      <c r="G5" s="150"/>
      <c r="H5" s="150"/>
      <c r="I5" s="150"/>
      <c r="J5" s="150" t="s">
        <v>107</v>
      </c>
      <c r="K5" s="150"/>
      <c r="L5" s="150"/>
      <c r="M5" s="150"/>
      <c r="N5" s="150"/>
    </row>
    <row r="6" spans="1:15" ht="51">
      <c r="A6" s="172"/>
      <c r="B6" s="172"/>
      <c r="C6" s="31" t="s">
        <v>85</v>
      </c>
      <c r="D6" s="2" t="s">
        <v>103</v>
      </c>
      <c r="E6" s="11" t="s">
        <v>104</v>
      </c>
      <c r="F6" s="31" t="s">
        <v>85</v>
      </c>
      <c r="G6" s="86" t="s">
        <v>103</v>
      </c>
      <c r="H6" s="2" t="s">
        <v>101</v>
      </c>
      <c r="I6" s="11" t="s">
        <v>104</v>
      </c>
      <c r="J6" s="31" t="s">
        <v>85</v>
      </c>
      <c r="K6" s="86" t="s">
        <v>101</v>
      </c>
      <c r="L6" s="86" t="s">
        <v>108</v>
      </c>
      <c r="M6" s="2" t="s">
        <v>103</v>
      </c>
      <c r="N6" s="11" t="s">
        <v>104</v>
      </c>
      <c r="O6" s="1"/>
    </row>
    <row r="7" spans="1:14" s="30" customFormat="1" ht="12.75">
      <c r="A7" s="16">
        <v>1</v>
      </c>
      <c r="B7" s="16">
        <v>2</v>
      </c>
      <c r="C7" s="34">
        <v>3</v>
      </c>
      <c r="D7" s="33"/>
      <c r="E7" s="33"/>
      <c r="F7" s="34">
        <v>3</v>
      </c>
      <c r="G7" s="16"/>
      <c r="H7" s="33"/>
      <c r="I7" s="33"/>
      <c r="J7" s="34">
        <v>3</v>
      </c>
      <c r="K7" s="16"/>
      <c r="L7" s="16"/>
      <c r="M7" s="33"/>
      <c r="N7" s="33"/>
    </row>
    <row r="8" spans="1:14" ht="25.5">
      <c r="A8" s="3">
        <v>1</v>
      </c>
      <c r="B8" s="2" t="s">
        <v>3</v>
      </c>
      <c r="C8" s="76">
        <f>'Налоговый потен'!M7</f>
        <v>31860.822912048454</v>
      </c>
      <c r="D8" s="76">
        <f>'субв от числ уточ'!D6</f>
        <v>4462.582610229277</v>
      </c>
      <c r="E8" s="76">
        <f>C8+D8</f>
        <v>36323.40552227773</v>
      </c>
      <c r="F8" s="76">
        <f>C8</f>
        <v>31860.822912048454</v>
      </c>
      <c r="G8" s="90">
        <f>D8</f>
        <v>4462.582610229277</v>
      </c>
      <c r="H8" s="76">
        <f>'Дотац 4000'!J5</f>
        <v>0</v>
      </c>
      <c r="I8" s="76">
        <f>F8+G8+H8</f>
        <v>36323.40552227773</v>
      </c>
      <c r="J8" s="76">
        <f>'Налоговый потен'!M7</f>
        <v>31860.822912048454</v>
      </c>
      <c r="K8" s="90">
        <f>'Дотац 4000'!J5</f>
        <v>0</v>
      </c>
      <c r="L8" s="90">
        <f>'Дотац 4000'!N5</f>
        <v>0</v>
      </c>
      <c r="M8" s="76">
        <f>'субв от числ уточ'!D6</f>
        <v>4462.582610229277</v>
      </c>
      <c r="N8" s="76">
        <f>J8+K8+M8+L8</f>
        <v>36323.40552227773</v>
      </c>
    </row>
    <row r="9" spans="1:14" ht="25.5">
      <c r="A9" s="3">
        <v>2</v>
      </c>
      <c r="B9" s="2" t="s">
        <v>4</v>
      </c>
      <c r="C9" s="76">
        <f>'Налоговый потен'!M8</f>
        <v>6281.835455207946</v>
      </c>
      <c r="D9" s="76">
        <f>'субв от числ уточ'!D7</f>
        <v>2782.40188712522</v>
      </c>
      <c r="E9" s="76">
        <f aca="true" t="shared" si="0" ref="E9:E17">C9+D9</f>
        <v>9064.237342333166</v>
      </c>
      <c r="F9" s="76">
        <f aca="true" t="shared" si="1" ref="F9:F17">C9</f>
        <v>6281.835455207946</v>
      </c>
      <c r="G9" s="90">
        <f aca="true" t="shared" si="2" ref="G9:G17">D9</f>
        <v>2782.40188712522</v>
      </c>
      <c r="H9" s="76">
        <f>'Дотац 4000'!J6</f>
        <v>409.3897395039481</v>
      </c>
      <c r="I9" s="76">
        <f aca="true" t="shared" si="3" ref="I9:I17">F9+G9+H9</f>
        <v>9473.627081837114</v>
      </c>
      <c r="J9" s="76">
        <f>'Налоговый потен'!M8</f>
        <v>6281.835455207946</v>
      </c>
      <c r="K9" s="90">
        <f>'Дотац 4000'!J6</f>
        <v>409.3897395039481</v>
      </c>
      <c r="L9" s="90">
        <f>'Дотац 4000'!N6</f>
        <v>0.678490910292092</v>
      </c>
      <c r="M9" s="76">
        <f>'субв от числ уточ'!D7</f>
        <v>2782.40188712522</v>
      </c>
      <c r="N9" s="76">
        <f aca="true" t="shared" si="4" ref="N9:N17">J9+K9+M9+L9</f>
        <v>9474.305572747407</v>
      </c>
    </row>
    <row r="10" spans="1:14" ht="25.5">
      <c r="A10" s="3">
        <v>3</v>
      </c>
      <c r="B10" s="2" t="s">
        <v>5</v>
      </c>
      <c r="C10" s="76">
        <f>'Налоговый потен'!M9</f>
        <v>1908.2352684371454</v>
      </c>
      <c r="D10" s="76">
        <f>'субв от числ уточ'!D8</f>
        <v>598.0962918871252</v>
      </c>
      <c r="E10" s="76">
        <f t="shared" si="0"/>
        <v>2506.3315603242704</v>
      </c>
      <c r="F10" s="76">
        <f t="shared" si="1"/>
        <v>1908.2352684371454</v>
      </c>
      <c r="G10" s="90">
        <f t="shared" si="2"/>
        <v>598.0962918871252</v>
      </c>
      <c r="H10" s="76">
        <f>'Дотац 4000'!J7</f>
        <v>444.4284732860456</v>
      </c>
      <c r="I10" s="76">
        <f t="shared" si="3"/>
        <v>2950.760033610316</v>
      </c>
      <c r="J10" s="76">
        <f>'Налоговый потен'!M9</f>
        <v>1908.2352684371454</v>
      </c>
      <c r="K10" s="90">
        <f>'Дотац 4000'!J7</f>
        <v>444.4284732860456</v>
      </c>
      <c r="L10" s="90">
        <f>'Дотац 4000'!N7</f>
        <v>942.1021804642618</v>
      </c>
      <c r="M10" s="76">
        <f>'субв от числ уточ'!D8</f>
        <v>598.0962918871252</v>
      </c>
      <c r="N10" s="76">
        <f t="shared" si="4"/>
        <v>3892.862214074578</v>
      </c>
    </row>
    <row r="11" spans="1:14" ht="25.5">
      <c r="A11" s="3">
        <v>4</v>
      </c>
      <c r="B11" s="2" t="s">
        <v>6</v>
      </c>
      <c r="C11" s="76">
        <f>'Налоговый потен'!M10</f>
        <v>7630.64022814737</v>
      </c>
      <c r="D11" s="76">
        <f>'субв от числ уточ'!D9</f>
        <v>506.2445282186949</v>
      </c>
      <c r="E11" s="76">
        <f t="shared" si="0"/>
        <v>8136.884756366065</v>
      </c>
      <c r="F11" s="76">
        <f t="shared" si="1"/>
        <v>7630.64022814737</v>
      </c>
      <c r="G11" s="90">
        <f t="shared" si="2"/>
        <v>506.2445282186949</v>
      </c>
      <c r="H11" s="76">
        <f>'Дотац 4000'!J8</f>
        <v>125.31848411447821</v>
      </c>
      <c r="I11" s="76">
        <f t="shared" si="3"/>
        <v>8262.203240480543</v>
      </c>
      <c r="J11" s="76">
        <f>'Налоговый потен'!M10</f>
        <v>7630.64022814737</v>
      </c>
      <c r="K11" s="90">
        <f>'Дотац 4000'!J8</f>
        <v>125.31848411447821</v>
      </c>
      <c r="L11" s="90">
        <f>'Дотац 4000'!N8</f>
        <v>0</v>
      </c>
      <c r="M11" s="76">
        <f>'субв от числ уточ'!D9</f>
        <v>506.2445282186949</v>
      </c>
      <c r="N11" s="76">
        <f t="shared" si="4"/>
        <v>8262.203240480543</v>
      </c>
    </row>
    <row r="12" spans="1:14" ht="25.5">
      <c r="A12" s="3">
        <v>5</v>
      </c>
      <c r="B12" s="2" t="s">
        <v>7</v>
      </c>
      <c r="C12" s="76">
        <f>'Налоговый потен'!M11</f>
        <v>3750.285167173718</v>
      </c>
      <c r="D12" s="76">
        <f>'субв от числ уточ'!D10</f>
        <v>777.5605070546737</v>
      </c>
      <c r="E12" s="76">
        <f t="shared" si="0"/>
        <v>4527.8456742283915</v>
      </c>
      <c r="F12" s="76">
        <f t="shared" si="1"/>
        <v>3750.285167173718</v>
      </c>
      <c r="G12" s="90">
        <f t="shared" si="2"/>
        <v>777.5605070546737</v>
      </c>
      <c r="H12" s="76">
        <f>'Дотац 4000'!J9</f>
        <v>258.8366949075232</v>
      </c>
      <c r="I12" s="76">
        <f t="shared" si="3"/>
        <v>4786.682369135915</v>
      </c>
      <c r="J12" s="76">
        <f>'Налоговый потен'!M11</f>
        <v>3750.285167173718</v>
      </c>
      <c r="K12" s="90">
        <f>'Дотац 4000'!J9</f>
        <v>258.8366949075232</v>
      </c>
      <c r="L12" s="90">
        <f>'Дотац 4000'!N9</f>
        <v>154.85060077434895</v>
      </c>
      <c r="M12" s="76">
        <f>'субв от числ уточ'!D10</f>
        <v>777.5605070546737</v>
      </c>
      <c r="N12" s="76">
        <f t="shared" si="4"/>
        <v>4941.532969910264</v>
      </c>
    </row>
    <row r="13" spans="1:14" ht="25.5">
      <c r="A13" s="3">
        <v>6</v>
      </c>
      <c r="B13" s="2" t="s">
        <v>8</v>
      </c>
      <c r="C13" s="76">
        <f>'Налоговый потен'!M12</f>
        <v>4771.69443988535</v>
      </c>
      <c r="D13" s="76">
        <f>'субв от числ уточ'!D11</f>
        <v>857.4008862433861</v>
      </c>
      <c r="E13" s="76">
        <f t="shared" si="0"/>
        <v>5629.095326128736</v>
      </c>
      <c r="F13" s="76">
        <f t="shared" si="1"/>
        <v>4771.69443988535</v>
      </c>
      <c r="G13" s="90">
        <f t="shared" si="2"/>
        <v>857.4008862433861</v>
      </c>
      <c r="H13" s="76">
        <f>'Дотац 4000'!J10</f>
        <v>164.67669229024696</v>
      </c>
      <c r="I13" s="76">
        <f t="shared" si="3"/>
        <v>5793.772018418983</v>
      </c>
      <c r="J13" s="76">
        <f>'Налоговый потен'!M12</f>
        <v>4771.69443988535</v>
      </c>
      <c r="K13" s="90">
        <f>'Дотац 4000'!J10</f>
        <v>164.67669229024696</v>
      </c>
      <c r="L13" s="90">
        <f>'Дотац 4000'!N10</f>
        <v>0</v>
      </c>
      <c r="M13" s="76">
        <f>'субв от числ уточ'!D11</f>
        <v>857.4008862433861</v>
      </c>
      <c r="N13" s="76">
        <f t="shared" si="4"/>
        <v>5793.772018418984</v>
      </c>
    </row>
    <row r="14" spans="1:14" ht="25.5">
      <c r="A14" s="3">
        <v>7</v>
      </c>
      <c r="B14" s="2" t="s">
        <v>9</v>
      </c>
      <c r="C14" s="76">
        <f>'Налоговый потен'!M13</f>
        <v>3324.5825377898022</v>
      </c>
      <c r="D14" s="76">
        <f>'субв от числ уточ'!D12</f>
        <v>1139.3151455026455</v>
      </c>
      <c r="E14" s="76">
        <f t="shared" si="0"/>
        <v>4463.897683292447</v>
      </c>
      <c r="F14" s="76">
        <f t="shared" si="1"/>
        <v>3324.5825377898022</v>
      </c>
      <c r="G14" s="90">
        <f t="shared" si="2"/>
        <v>1139.3151455026455</v>
      </c>
      <c r="H14" s="76">
        <f>'Дотац 4000'!J11</f>
        <v>369.1477955287498</v>
      </c>
      <c r="I14" s="76">
        <f t="shared" si="3"/>
        <v>4833.045478821197</v>
      </c>
      <c r="J14" s="76">
        <f>'Налоговый потен'!M13</f>
        <v>3324.5825377898022</v>
      </c>
      <c r="K14" s="90">
        <f>'Дотац 4000'!J11</f>
        <v>369.1477955287498</v>
      </c>
      <c r="L14" s="90">
        <f>'Дотац 4000'!N11</f>
        <v>476.75025954986666</v>
      </c>
      <c r="M14" s="76">
        <f>'субв от числ уточ'!D12</f>
        <v>1139.3151455026455</v>
      </c>
      <c r="N14" s="76">
        <f t="shared" si="4"/>
        <v>5309.795738371064</v>
      </c>
    </row>
    <row r="15" spans="1:14" ht="25.5">
      <c r="A15" s="3">
        <v>8</v>
      </c>
      <c r="B15" s="2" t="s">
        <v>10</v>
      </c>
      <c r="C15" s="76">
        <f>'Налоговый потен'!M14</f>
        <v>2365.6209413663655</v>
      </c>
      <c r="D15" s="76">
        <f>'субв от числ уточ'!D13</f>
        <v>878.2441710758377</v>
      </c>
      <c r="E15" s="76">
        <f t="shared" si="0"/>
        <v>3243.865112442203</v>
      </c>
      <c r="F15" s="76">
        <f t="shared" si="1"/>
        <v>2365.6209413663655</v>
      </c>
      <c r="G15" s="90">
        <f t="shared" si="2"/>
        <v>878.2441710758377</v>
      </c>
      <c r="H15" s="76">
        <f>'Дотац 4000'!J12</f>
        <v>255.9550291773768</v>
      </c>
      <c r="I15" s="76">
        <f t="shared" si="3"/>
        <v>3499.8201416195798</v>
      </c>
      <c r="J15" s="76">
        <f>'Налоговый потен'!M14</f>
        <v>2365.6209413663655</v>
      </c>
      <c r="K15" s="90">
        <f>'Дотац 4000'!J12</f>
        <v>255.9550291773768</v>
      </c>
      <c r="L15" s="90">
        <f>'Дотац 4000'!N12</f>
        <v>311.4700002778142</v>
      </c>
      <c r="M15" s="76">
        <f>'субв от числ уточ'!D13</f>
        <v>878.2441710758377</v>
      </c>
      <c r="N15" s="76">
        <f t="shared" si="4"/>
        <v>3811.290141897394</v>
      </c>
    </row>
    <row r="16" spans="1:14" ht="25.5">
      <c r="A16" s="3">
        <v>9</v>
      </c>
      <c r="B16" s="2" t="s">
        <v>11</v>
      </c>
      <c r="C16" s="76">
        <f>'Налоговый потен'!M15</f>
        <v>7137.00789216765</v>
      </c>
      <c r="D16" s="76">
        <f>'субв от числ уточ'!D14</f>
        <v>957.0247222222221</v>
      </c>
      <c r="E16" s="76">
        <f t="shared" si="0"/>
        <v>8094.032614389873</v>
      </c>
      <c r="F16" s="76">
        <f t="shared" si="1"/>
        <v>7137.00789216765</v>
      </c>
      <c r="G16" s="90">
        <f t="shared" si="2"/>
        <v>957.0247222222221</v>
      </c>
      <c r="H16" s="76">
        <f>'Дотац 4000'!J13</f>
        <v>86.39555921504737</v>
      </c>
      <c r="I16" s="76">
        <f t="shared" si="3"/>
        <v>8180.428173604921</v>
      </c>
      <c r="J16" s="76">
        <f>'Налоговый потен'!M15</f>
        <v>7137.00789216765</v>
      </c>
      <c r="K16" s="90">
        <f>'Дотац 4000'!J13</f>
        <v>86.39555921504737</v>
      </c>
      <c r="L16" s="90">
        <f>'Дотац 4000'!N13</f>
        <v>0</v>
      </c>
      <c r="M16" s="76">
        <f>'субв от числ уточ'!D14</f>
        <v>957.0247222222221</v>
      </c>
      <c r="N16" s="76">
        <f t="shared" si="4"/>
        <v>8180.428173604921</v>
      </c>
    </row>
    <row r="17" spans="1:14" ht="25.5">
      <c r="A17" s="4">
        <v>10</v>
      </c>
      <c r="B17" s="2" t="s">
        <v>12</v>
      </c>
      <c r="C17" s="76">
        <f>'Налоговый потен'!M16</f>
        <v>34447.27515777618</v>
      </c>
      <c r="D17" s="76">
        <f>'субв от числ уточ'!D15</f>
        <v>1863.884250440917</v>
      </c>
      <c r="E17" s="76">
        <f t="shared" si="0"/>
        <v>36311.1594082171</v>
      </c>
      <c r="F17" s="76">
        <f t="shared" si="1"/>
        <v>34447.27515777618</v>
      </c>
      <c r="G17" s="90">
        <f t="shared" si="2"/>
        <v>1863.884250440917</v>
      </c>
      <c r="H17" s="76">
        <f>'Дотац 4000'!J14</f>
        <v>0</v>
      </c>
      <c r="I17" s="76">
        <f t="shared" si="3"/>
        <v>36311.1594082171</v>
      </c>
      <c r="J17" s="76">
        <f>'Налоговый потен'!M16</f>
        <v>34447.27515777618</v>
      </c>
      <c r="K17" s="90">
        <f>'Дотац 4000'!J14</f>
        <v>0</v>
      </c>
      <c r="L17" s="90">
        <f>'Дотац 4000'!N14</f>
        <v>0</v>
      </c>
      <c r="M17" s="76">
        <f>'субв от числ уточ'!D15</f>
        <v>1863.884250440917</v>
      </c>
      <c r="N17" s="76">
        <f t="shared" si="4"/>
        <v>36311.1594082171</v>
      </c>
    </row>
    <row r="18" spans="1:14" ht="12.75">
      <c r="A18" s="3"/>
      <c r="B18" s="11" t="s">
        <v>15</v>
      </c>
      <c r="C18" s="75">
        <f aca="true" t="shared" si="5" ref="C18:N18">SUM(C8:C17)</f>
        <v>103477.99999999999</v>
      </c>
      <c r="D18" s="75">
        <f t="shared" si="5"/>
        <v>14822.755</v>
      </c>
      <c r="E18" s="75">
        <f t="shared" si="5"/>
        <v>118300.75499999998</v>
      </c>
      <c r="F18" s="75">
        <f>SUM(F8:F17)</f>
        <v>103477.99999999999</v>
      </c>
      <c r="G18" s="75">
        <f>SUM(G8:G17)</f>
        <v>14822.755</v>
      </c>
      <c r="H18" s="75">
        <f>SUM(H8:H17)</f>
        <v>2114.148468023416</v>
      </c>
      <c r="I18" s="75">
        <f>SUM(I8:I17)</f>
        <v>120414.9034680234</v>
      </c>
      <c r="J18" s="75">
        <f t="shared" si="5"/>
        <v>103477.99999999999</v>
      </c>
      <c r="K18" s="75">
        <f t="shared" si="5"/>
        <v>2114.148468023416</v>
      </c>
      <c r="L18" s="75">
        <f t="shared" si="5"/>
        <v>1885.8515319765836</v>
      </c>
      <c r="M18" s="75">
        <f t="shared" si="5"/>
        <v>14822.755</v>
      </c>
      <c r="N18" s="75">
        <f t="shared" si="5"/>
        <v>122300.75499999998</v>
      </c>
    </row>
    <row r="19" spans="2:10" ht="12.75">
      <c r="B19" s="1"/>
      <c r="C19" s="7"/>
      <c r="F19" s="7"/>
      <c r="J19" s="7"/>
    </row>
    <row r="20" ht="12.75">
      <c r="B20" s="89"/>
    </row>
  </sheetData>
  <sheetProtection/>
  <mergeCells count="6">
    <mergeCell ref="F5:I5"/>
    <mergeCell ref="C5:E5"/>
    <mergeCell ref="J5:N5"/>
    <mergeCell ref="A2:N3"/>
    <mergeCell ref="B5:B6"/>
    <mergeCell ref="A5:A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6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26.00390625" style="0" customWidth="1"/>
    <col min="2" max="2" width="13.75390625" style="0" customWidth="1"/>
    <col min="3" max="3" width="12.25390625" style="0" customWidth="1"/>
    <col min="4" max="4" width="14.00390625" style="0" customWidth="1"/>
    <col min="6" max="6" width="10.125" style="0" customWidth="1"/>
    <col min="7" max="7" width="13.25390625" style="0" customWidth="1"/>
    <col min="9" max="9" width="10.125" style="0" customWidth="1"/>
    <col min="10" max="10" width="13.25390625" style="0" customWidth="1"/>
  </cols>
  <sheetData>
    <row r="1" spans="1:10" ht="33.75" customHeight="1">
      <c r="A1" s="173" t="s">
        <v>169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ht="39" customHeight="1">
      <c r="A2" s="172" t="s">
        <v>1</v>
      </c>
      <c r="B2" s="150" t="s">
        <v>113</v>
      </c>
      <c r="C2" s="150"/>
      <c r="D2" s="150"/>
      <c r="E2" s="150" t="s">
        <v>136</v>
      </c>
      <c r="F2" s="150"/>
      <c r="G2" s="150"/>
      <c r="H2" s="150" t="s">
        <v>121</v>
      </c>
      <c r="I2" s="150"/>
      <c r="J2" s="150"/>
      <c r="K2" s="91"/>
    </row>
    <row r="3" spans="1:10" ht="76.5" customHeight="1">
      <c r="A3" s="172"/>
      <c r="B3" s="18" t="s">
        <v>79</v>
      </c>
      <c r="C3" s="16" t="s">
        <v>83</v>
      </c>
      <c r="D3" s="87" t="s">
        <v>84</v>
      </c>
      <c r="E3" s="18" t="s">
        <v>79</v>
      </c>
      <c r="F3" s="16" t="s">
        <v>83</v>
      </c>
      <c r="G3" s="87" t="s">
        <v>84</v>
      </c>
      <c r="H3" s="18" t="s">
        <v>79</v>
      </c>
      <c r="I3" s="16" t="s">
        <v>83</v>
      </c>
      <c r="J3" s="87" t="s">
        <v>84</v>
      </c>
    </row>
    <row r="4" spans="1:10" ht="30" customHeight="1">
      <c r="A4" s="2" t="s">
        <v>3</v>
      </c>
      <c r="B4" s="23">
        <f>'субв от числ уточ'!C6</f>
        <v>12632</v>
      </c>
      <c r="C4" s="76">
        <f>ДП!E8</f>
        <v>36323.40552227773</v>
      </c>
      <c r="D4" s="5">
        <f>(C4/B4)/(C14/B14)</f>
        <v>1.0198626911045505</v>
      </c>
      <c r="E4" s="23">
        <f>B4</f>
        <v>12632</v>
      </c>
      <c r="F4" s="76">
        <f>ДП!I8</f>
        <v>36323.40552227773</v>
      </c>
      <c r="G4" s="5">
        <f>(F4/E4)/(F14/E14)</f>
        <v>1.0019567585007387</v>
      </c>
      <c r="H4" s="23">
        <f>'Коэф.масшт.'!C5</f>
        <v>12632</v>
      </c>
      <c r="I4" s="76">
        <f>ДП!N8</f>
        <v>36323.40552227773</v>
      </c>
      <c r="J4" s="5">
        <f>(I4/H4)/(I14/H14)</f>
        <v>0.9865067991935136</v>
      </c>
    </row>
    <row r="5" spans="1:10" ht="24" customHeight="1">
      <c r="A5" s="2" t="s">
        <v>4</v>
      </c>
      <c r="B5" s="23">
        <f>'субв от числ уточ'!C7</f>
        <v>7876</v>
      </c>
      <c r="C5" s="76">
        <f>ДП!E9</f>
        <v>9064.237342333166</v>
      </c>
      <c r="D5" s="5">
        <f>(C5/B5)/(C14/B14)</f>
        <v>0.40818103599244143</v>
      </c>
      <c r="E5" s="23">
        <f aca="true" t="shared" si="0" ref="E5:E13">B5</f>
        <v>7876</v>
      </c>
      <c r="F5" s="76">
        <f>ДП!I9</f>
        <v>9473.627081837114</v>
      </c>
      <c r="G5" s="5">
        <f>(F5/E5)/(F14/E14)</f>
        <v>0.4191264940376266</v>
      </c>
      <c r="H5" s="23">
        <f>'Коэф.масшт.'!C6</f>
        <v>7876</v>
      </c>
      <c r="I5" s="76">
        <f>ДП!N9</f>
        <v>9474.305572747407</v>
      </c>
      <c r="J5" s="5">
        <f>(I5/H5)/(I14/H14)</f>
        <v>0.4126932075031971</v>
      </c>
    </row>
    <row r="6" spans="1:10" ht="26.25" customHeight="1">
      <c r="A6" s="2" t="s">
        <v>5</v>
      </c>
      <c r="B6" s="23">
        <f>'субв от числ уточ'!C8</f>
        <v>1693</v>
      </c>
      <c r="C6" s="76">
        <f>ДП!E10</f>
        <v>2506.3315603242704</v>
      </c>
      <c r="D6" s="5">
        <f>(C6/B6)/(C14/B14)</f>
        <v>0.5250598704560095</v>
      </c>
      <c r="E6" s="23">
        <f t="shared" si="0"/>
        <v>1693</v>
      </c>
      <c r="F6" s="76">
        <f>ДП!I10</f>
        <v>2950.760033610316</v>
      </c>
      <c r="G6" s="5">
        <f>(F6/E6)/(F14/E14)</f>
        <v>0.6073114528062601</v>
      </c>
      <c r="H6" s="23">
        <f>'Коэф.масшт.'!C7</f>
        <v>1693</v>
      </c>
      <c r="I6" s="76">
        <f>ДП!N10</f>
        <v>3892.862214074578</v>
      </c>
      <c r="J6" s="5">
        <f>(I6/H6)/(I14/H14)</f>
        <v>0.7888559667343221</v>
      </c>
    </row>
    <row r="7" spans="1:10" ht="29.25" customHeight="1">
      <c r="A7" s="2" t="s">
        <v>6</v>
      </c>
      <c r="B7" s="23">
        <f>'субв от числ уточ'!C9</f>
        <v>1433</v>
      </c>
      <c r="C7" s="76">
        <f>ДП!E11</f>
        <v>8136.884756366065</v>
      </c>
      <c r="D7" s="5">
        <f>(C7/B7)/(C14/B14)</f>
        <v>2.013906190998973</v>
      </c>
      <c r="E7" s="23">
        <f t="shared" si="0"/>
        <v>1433</v>
      </c>
      <c r="F7" s="76">
        <f>ДП!I11</f>
        <v>8262.203240480543</v>
      </c>
      <c r="G7" s="5">
        <f>(F7/E7)/(F14/E14)</f>
        <v>2.00901981526751</v>
      </c>
      <c r="H7" s="23">
        <f>'Коэф.масшт.'!C8</f>
        <v>1433</v>
      </c>
      <c r="I7" s="76">
        <f>ДП!N11</f>
        <v>8262.203240480543</v>
      </c>
      <c r="J7" s="5">
        <f>(I7/H7)/(I14/H14)</f>
        <v>1.9780411586239468</v>
      </c>
    </row>
    <row r="8" spans="1:10" ht="25.5" customHeight="1">
      <c r="A8" s="2" t="s">
        <v>7</v>
      </c>
      <c r="B8" s="23">
        <f>'субв от числ уточ'!C10</f>
        <v>2201</v>
      </c>
      <c r="C8" s="76">
        <f>ДП!E12</f>
        <v>4527.8456742283915</v>
      </c>
      <c r="D8" s="5">
        <f>(C8/B8)/(C14/B14)</f>
        <v>0.7296235375363971</v>
      </c>
      <c r="E8" s="23">
        <f t="shared" si="0"/>
        <v>2201</v>
      </c>
      <c r="F8" s="76">
        <f>ДП!I12</f>
        <v>4786.682369135915</v>
      </c>
      <c r="G8" s="5">
        <f>(F8/E8)/(F14/E14)</f>
        <v>0.7577904086153396</v>
      </c>
      <c r="H8" s="23">
        <f>'Коэф.масшт.'!C9</f>
        <v>2201</v>
      </c>
      <c r="I8" s="76">
        <f>ДП!N12</f>
        <v>4941.532969910264</v>
      </c>
      <c r="J8" s="5">
        <f>(I8/H8)/(I14/H14)</f>
        <v>0.7702421756471666</v>
      </c>
    </row>
    <row r="9" spans="1:10" ht="27.75" customHeight="1">
      <c r="A9" s="2" t="s">
        <v>8</v>
      </c>
      <c r="B9" s="23">
        <f>'субв от числ уточ'!C11</f>
        <v>2427</v>
      </c>
      <c r="C9" s="76">
        <f>ДП!E13</f>
        <v>5629.095326128736</v>
      </c>
      <c r="D9" s="5">
        <f>(C9/B9)/(C14/B14)</f>
        <v>0.8226139863844378</v>
      </c>
      <c r="E9" s="23">
        <f t="shared" si="0"/>
        <v>2427</v>
      </c>
      <c r="F9" s="76">
        <f>ДП!I13</f>
        <v>5793.772018418983</v>
      </c>
      <c r="G9" s="5">
        <f>(F9/E9)/(F14/E14)</f>
        <v>0.8318138790369745</v>
      </c>
      <c r="H9" s="23">
        <f>'Коэф.масшт.'!C10</f>
        <v>2427</v>
      </c>
      <c r="I9" s="76">
        <f>ДП!N13</f>
        <v>5793.772018418984</v>
      </c>
      <c r="J9" s="5">
        <f>(I9/H9)/(I14/H14)</f>
        <v>0.8189874866070892</v>
      </c>
    </row>
    <row r="10" spans="1:10" ht="25.5" customHeight="1">
      <c r="A10" s="2" t="s">
        <v>9</v>
      </c>
      <c r="B10" s="23">
        <f>'субв от числ уточ'!C12</f>
        <v>3225</v>
      </c>
      <c r="C10" s="76">
        <f>ДП!E14</f>
        <v>4463.897683292447</v>
      </c>
      <c r="D10" s="5">
        <f>(C10/B10)/(C14/B14)</f>
        <v>0.4909211862204519</v>
      </c>
      <c r="E10" s="23">
        <f t="shared" si="0"/>
        <v>3225</v>
      </c>
      <c r="F10" s="76">
        <f>ДП!I14</f>
        <v>4833.045478821197</v>
      </c>
      <c r="G10" s="5">
        <f>(F10/E10)/(F14/E14)</f>
        <v>0.522186571865885</v>
      </c>
      <c r="H10" s="23">
        <f>'Коэф.масшт.'!C11</f>
        <v>3225</v>
      </c>
      <c r="I10" s="76">
        <f>ДП!N14</f>
        <v>5309.795738371064</v>
      </c>
      <c r="J10" s="5">
        <f>(I10/H10)/(I14/H14)</f>
        <v>0.5648507843833488</v>
      </c>
    </row>
    <row r="11" spans="1:10" ht="26.25" customHeight="1">
      <c r="A11" s="2" t="s">
        <v>10</v>
      </c>
      <c r="B11" s="23">
        <f>'субв от числ уточ'!C13</f>
        <v>2486</v>
      </c>
      <c r="C11" s="76">
        <f>ДП!E15</f>
        <v>3243.865112442203</v>
      </c>
      <c r="D11" s="5">
        <f>(C11/B11)/(C14/B14)</f>
        <v>0.4627952842035337</v>
      </c>
      <c r="E11" s="23">
        <f t="shared" si="0"/>
        <v>2486</v>
      </c>
      <c r="F11" s="76">
        <f>ДП!I15</f>
        <v>3499.8201416195798</v>
      </c>
      <c r="G11" s="5">
        <f>(F11/E11)/(F14/E14)</f>
        <v>0.49054532220079294</v>
      </c>
      <c r="H11" s="23">
        <f>'Коэф.масшт.'!C12</f>
        <v>2486</v>
      </c>
      <c r="I11" s="76">
        <f>ДП!N15</f>
        <v>3811.290141897394</v>
      </c>
      <c r="J11" s="5">
        <f>(I11/H11)/(I14/H14)</f>
        <v>0.5259646155016419</v>
      </c>
    </row>
    <row r="12" spans="1:10" ht="25.5" customHeight="1">
      <c r="A12" s="2" t="s">
        <v>11</v>
      </c>
      <c r="B12" s="23">
        <f>'субв от числ уточ'!C14</f>
        <v>2709</v>
      </c>
      <c r="C12" s="76">
        <f>ДП!E16</f>
        <v>8094.032614389873</v>
      </c>
      <c r="D12" s="5">
        <f>(C12/B12)/(C14/B14)</f>
        <v>1.0597006660247958</v>
      </c>
      <c r="E12" s="23">
        <f t="shared" si="0"/>
        <v>2709</v>
      </c>
      <c r="F12" s="76">
        <f>ДП!I16</f>
        <v>8180.428173604921</v>
      </c>
      <c r="G12" s="5">
        <f>(F12/E12)/(F14/E14)</f>
        <v>1.0522079226404868</v>
      </c>
      <c r="H12" s="23">
        <f>'Коэф.масшт.'!C13</f>
        <v>2709</v>
      </c>
      <c r="I12" s="76">
        <f>ДП!N16</f>
        <v>8180.428173604921</v>
      </c>
      <c r="J12" s="5">
        <f>(I12/H12)/(I14/H14)</f>
        <v>1.0359831011104033</v>
      </c>
    </row>
    <row r="13" spans="1:10" ht="25.5" customHeight="1">
      <c r="A13" s="2" t="s">
        <v>12</v>
      </c>
      <c r="B13" s="23">
        <f>'субв от числ уточ'!C15</f>
        <v>5276</v>
      </c>
      <c r="C13" s="76">
        <f>ДП!E17</f>
        <v>36311.1594082171</v>
      </c>
      <c r="D13" s="5">
        <f>(C13/B13)/(C14/B14)</f>
        <v>2.440970840917844</v>
      </c>
      <c r="E13" s="23">
        <f t="shared" si="0"/>
        <v>5276</v>
      </c>
      <c r="F13" s="76">
        <f>ДП!I17</f>
        <v>36311.1594082171</v>
      </c>
      <c r="G13" s="5">
        <f>(F13/E13)/(F14/E14)</f>
        <v>2.3981142291929776</v>
      </c>
      <c r="H13" s="23">
        <f>'Коэф.масшт.'!C14</f>
        <v>5276</v>
      </c>
      <c r="I13" s="76">
        <f>ДП!N17</f>
        <v>36311.1594082171</v>
      </c>
      <c r="J13" s="5">
        <f>(I13/H13)/(I14/H14)</f>
        <v>2.361135819754881</v>
      </c>
    </row>
    <row r="14" spans="1:10" ht="18.75" customHeight="1">
      <c r="A14" s="11" t="s">
        <v>71</v>
      </c>
      <c r="B14" s="75">
        <f>SUM(B4:B13)</f>
        <v>41958</v>
      </c>
      <c r="C14" s="75">
        <f>SUM(C4:C13)</f>
        <v>118300.75499999998</v>
      </c>
      <c r="D14" s="20"/>
      <c r="E14" s="75">
        <f>SUM(E4:E13)</f>
        <v>41958</v>
      </c>
      <c r="F14" s="75">
        <f>SUM(F4:F13)</f>
        <v>120414.9034680234</v>
      </c>
      <c r="G14" s="20"/>
      <c r="H14" s="75">
        <f>SUM(H4:H13)</f>
        <v>41958</v>
      </c>
      <c r="I14" s="75">
        <f>SUM(I4:I13)</f>
        <v>122300.75499999998</v>
      </c>
      <c r="J14" s="20"/>
    </row>
    <row r="16" ht="18.75" customHeight="1">
      <c r="A16" s="89"/>
    </row>
  </sheetData>
  <sheetProtection/>
  <mergeCells count="5">
    <mergeCell ref="A1:J1"/>
    <mergeCell ref="E2:G2"/>
    <mergeCell ref="B2:D2"/>
    <mergeCell ref="H2:J2"/>
    <mergeCell ref="A2:A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FedotovaNV</cp:lastModifiedBy>
  <cp:lastPrinted>2020-04-24T11:24:31Z</cp:lastPrinted>
  <dcterms:created xsi:type="dcterms:W3CDTF">2005-11-18T06:27:58Z</dcterms:created>
  <dcterms:modified xsi:type="dcterms:W3CDTF">2020-04-24T11:27:26Z</dcterms:modified>
  <cp:category/>
  <cp:version/>
  <cp:contentType/>
  <cp:contentStatus/>
</cp:coreProperties>
</file>