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tabRatio="929" activeTab="10"/>
  </bookViews>
  <sheets>
    <sheet name="Налоговый потен" sheetId="1" r:id="rId1"/>
    <sheet name="Коэф.масшт." sheetId="2" r:id="rId2"/>
    <sheet name="Коэф. плот.авт.дорог" sheetId="3" r:id="rId3"/>
    <sheet name="Коэф.дисп" sheetId="4" r:id="rId4"/>
    <sheet name="Расчет доли " sheetId="5" r:id="rId5"/>
    <sheet name="ИБР" sheetId="6" r:id="rId6"/>
    <sheet name="БО" sheetId="7" r:id="rId7"/>
    <sheet name="ДП" sheetId="8" r:id="rId8"/>
    <sheet name="ИДП" sheetId="9" r:id="rId9"/>
    <sheet name="субв от числ уточ" sheetId="10" r:id="rId10"/>
    <sheet name="Дотац 4000" sheetId="11" r:id="rId11"/>
  </sheets>
  <definedNames>
    <definedName name="_xlnm.Print_Area" localSheetId="5">'ИБР'!$A$1:$S$21</definedName>
    <definedName name="_xlnm.Print_Area" localSheetId="0">'Налоговый потен'!$A$1:$M$19</definedName>
  </definedNames>
  <calcPr fullCalcOnLoad="1"/>
</workbook>
</file>

<file path=xl/sharedStrings.xml><?xml version="1.0" encoding="utf-8"?>
<sst xmlns="http://schemas.openxmlformats.org/spreadsheetml/2006/main" count="302" uniqueCount="161">
  <si>
    <t>№п/п</t>
  </si>
  <si>
    <t>Наименование поселения</t>
  </si>
  <si>
    <t xml:space="preserve">Средняя численность </t>
  </si>
  <si>
    <t>Чердаклинское городское поселение</t>
  </si>
  <si>
    <t>Октябрьское городское поселение</t>
  </si>
  <si>
    <t>Бряндинское сельское поселение</t>
  </si>
  <si>
    <t>Богдашкинское сельское поселение</t>
  </si>
  <si>
    <t>Озерское сельское поселение</t>
  </si>
  <si>
    <t>Белоярское сельское поселение</t>
  </si>
  <si>
    <t>Калмаюрское сельское поселение</t>
  </si>
  <si>
    <t>Крестовогородищенское сельское поселение</t>
  </si>
  <si>
    <t>Красноярское сельское поселение</t>
  </si>
  <si>
    <t>Мирновское сельское поселение</t>
  </si>
  <si>
    <t>Численность поселения (чел.)</t>
  </si>
  <si>
    <t>Всего расходов</t>
  </si>
  <si>
    <t>ВСЕГО</t>
  </si>
  <si>
    <t>Наименование</t>
  </si>
  <si>
    <t>№</t>
  </si>
  <si>
    <t>с.Енганаево</t>
  </si>
  <si>
    <t>пос.Первомайский</t>
  </si>
  <si>
    <t>пос.Пятисотенный</t>
  </si>
  <si>
    <t>с.Абдуллово</t>
  </si>
  <si>
    <t>с.Асаново</t>
  </si>
  <si>
    <t>пос.Новый Суходол</t>
  </si>
  <si>
    <t>р.п.Чердаклы (адм.центр)</t>
  </si>
  <si>
    <t>с.Бряндино (адм. центр)</t>
  </si>
  <si>
    <t>р.п.Октябрьский (адм. центр)</t>
  </si>
  <si>
    <t>с.Ст.Бряндино</t>
  </si>
  <si>
    <t>с.Ст.Еремкино</t>
  </si>
  <si>
    <t>пос.Борисовка</t>
  </si>
  <si>
    <t>пос.Победитель</t>
  </si>
  <si>
    <t>разъезд Путевой</t>
  </si>
  <si>
    <t>с.Богдашкино (адм.центр)</t>
  </si>
  <si>
    <t>с.Петровское</t>
  </si>
  <si>
    <t>с.Войкино</t>
  </si>
  <si>
    <t>с.Ст.Матюшкино</t>
  </si>
  <si>
    <t>с.Новое Матюшкино</t>
  </si>
  <si>
    <t>разъезд Уренбаш</t>
  </si>
  <si>
    <t>с.Озерки (адм.центр)</t>
  </si>
  <si>
    <t>д.Рузаны</t>
  </si>
  <si>
    <t>с.Старый Уренбаш</t>
  </si>
  <si>
    <t>с.Суходол</t>
  </si>
  <si>
    <t>с.Новый Белый Яр (адм.центр)</t>
  </si>
  <si>
    <t>с.Ст.Белый Яр</t>
  </si>
  <si>
    <t>п.Вислая Дубрава</t>
  </si>
  <si>
    <t>с.Поповка</t>
  </si>
  <si>
    <t>с.Камышовка</t>
  </si>
  <si>
    <t>с.Коровино</t>
  </si>
  <si>
    <t>с.Уразгильдино</t>
  </si>
  <si>
    <t>с.Андреевка</t>
  </si>
  <si>
    <t>с.Татарский Калмаюр (адм.центр)</t>
  </si>
  <si>
    <t>с.Чувашский Калмаюр</t>
  </si>
  <si>
    <t>Крестово-Городищенское сельское поселение</t>
  </si>
  <si>
    <t>с.Крестово-Городище (адм.центр)</t>
  </si>
  <si>
    <t>пос.Колхозный (адм.центр)</t>
  </si>
  <si>
    <t>с.Красный Яр</t>
  </si>
  <si>
    <t>пос.Мирный (адм.центр)</t>
  </si>
  <si>
    <t>с.Архангельское</t>
  </si>
  <si>
    <t>пос.Лощина</t>
  </si>
  <si>
    <t>Всего по Чердаклинскому району</t>
  </si>
  <si>
    <t>с.Малаевка</t>
  </si>
  <si>
    <t>Коэффициент дисперсности расселения</t>
  </si>
  <si>
    <t>Коэффициент масштаба(0,6*числ.пос+0,4*сред числ)/числен посел</t>
  </si>
  <si>
    <t>п. Лесная быль</t>
  </si>
  <si>
    <t>Всего по району</t>
  </si>
  <si>
    <t>пос.Белая Рыбка</t>
  </si>
  <si>
    <t xml:space="preserve">Формирование, утверждение, исполнение бюджета и конторль за исполнением данного бюджета </t>
  </si>
  <si>
    <t>Культура СДК</t>
  </si>
  <si>
    <t>ЖКХ</t>
  </si>
  <si>
    <t>Коэффициент масштаба</t>
  </si>
  <si>
    <t>ВСЕГО по району</t>
  </si>
  <si>
    <t>Коэффициент дисперсности</t>
  </si>
  <si>
    <t>Коэффициент плотности автодорог</t>
  </si>
  <si>
    <t>В среднем по району</t>
  </si>
  <si>
    <t>Формирование, утверждение, исполнение бюджета</t>
  </si>
  <si>
    <t>Культура</t>
  </si>
  <si>
    <t xml:space="preserve">Прочие расходы </t>
  </si>
  <si>
    <t>Доля, %</t>
  </si>
  <si>
    <t>Численность (чел.)</t>
  </si>
  <si>
    <t>Коэффициент плотности автомобильных дорог</t>
  </si>
  <si>
    <t>Прочие расходы на решение вопросов местного значения</t>
  </si>
  <si>
    <t>Всего ИБР (гр5+гр9+гр14+гр18)</t>
  </si>
  <si>
    <t>Доходный потенциал, тыс.руб. ДП</t>
  </si>
  <si>
    <t>Индекс доходного потенциала ИДП (гр4/гр3)/(гр4мр/гр3мр)</t>
  </si>
  <si>
    <t>Налоговый потенциал всего НП</t>
  </si>
  <si>
    <t>Индекс доходного потенциала поселений ИДП</t>
  </si>
  <si>
    <t>Индекс бюджетных расходов поселений ИБР</t>
  </si>
  <si>
    <t>Уровень расчетной бюджетной обеспеченности БО (гр2/гр3)</t>
  </si>
  <si>
    <t>Индекс бюджетных расходов ИБР</t>
  </si>
  <si>
    <t>Субвенции из областного бюджета</t>
  </si>
  <si>
    <t>4а</t>
  </si>
  <si>
    <t>НП НДФЛ</t>
  </si>
  <si>
    <t>земельный налог</t>
  </si>
  <si>
    <t>Налог на имущество физ лиц</t>
  </si>
  <si>
    <t>БНпос/БН</t>
  </si>
  <si>
    <t>средний уровень расчетной бюджетной обеспеченности У1</t>
  </si>
  <si>
    <t>средний У1</t>
  </si>
  <si>
    <t>Первая часть дотации (гр7*П)</t>
  </si>
  <si>
    <t>первая часть дотации</t>
  </si>
  <si>
    <t>с учетом первой части дотации и субвенций</t>
  </si>
  <si>
    <t>субвенции</t>
  </si>
  <si>
    <t xml:space="preserve">Доходный потенциал ДП </t>
  </si>
  <si>
    <t>Уровень бюджетной обеспеченности БО для распределения первой части дотации</t>
  </si>
  <si>
    <t>Объем средств, необходимый для доведения расчетной бюджетной обеспеченности j-го поселения  до второго среднего уровня расчетной бюджетной обеспеченности Т2j=</t>
  </si>
  <si>
    <t>с учетом первой, второй  части дотации и субвенций</t>
  </si>
  <si>
    <t>вторая часть дотации</t>
  </si>
  <si>
    <t>с учетом первой, второй части дотации и субвенций</t>
  </si>
  <si>
    <t>Вторая часть дотации</t>
  </si>
  <si>
    <t>Доходный потенциал</t>
  </si>
  <si>
    <t>Сумма дотации из субвенций (тыс. руб.)</t>
  </si>
  <si>
    <t>с учетом налогового потенциала и  субвенций</t>
  </si>
  <si>
    <t xml:space="preserve">Расчет коэффициента плотности автомобильных дорог по поселениям 2014 год </t>
  </si>
  <si>
    <t>Протяженность автодорог, км</t>
  </si>
  <si>
    <t>с учетом субвенций</t>
  </si>
  <si>
    <t>Объем средств, необходимый для доведения расчетной бюджетной обеспеченности j-го поселения  до среднего уровня расчетной бюджетной обеспеченности (гр4мр/гр3мр)*(У1-гр6)*гр5*гр3</t>
  </si>
  <si>
    <t>с учетом субвенций и первой части дотации</t>
  </si>
  <si>
    <t>Уровень расчетной бюджетной обеспеченности БО1</t>
  </si>
  <si>
    <t>Уровень бюджетной обеспеченности БО1 для распределения второй части дотации</t>
  </si>
  <si>
    <t>с учетом налогового потенциала, первой, второй части дотации и субвенций</t>
  </si>
  <si>
    <t>недостаток на з/пл и ком усл</t>
  </si>
  <si>
    <t>Оценка исполнения за 2014г. - полномочия по 136 ФЗ</t>
  </si>
  <si>
    <t>ИБР ((гр3*гр4/гр3)/(гр3мр*гр4мр/гр3мр))*27,9/100</t>
  </si>
  <si>
    <t>Прогноз налоговых, неналоговых доходов, субвенций, 1 части дотации ПДпмр</t>
  </si>
  <si>
    <t>ЖКХ, дорожная деятельность</t>
  </si>
  <si>
    <t>уточненный на 01.08.2014</t>
  </si>
  <si>
    <t>Оценка исполнения за 2014г.</t>
  </si>
  <si>
    <t>ИБР (гр6*гр7*гр8/гр6)/(гр6мр*гр7мр*гр8мр/г6мр))*25,1/100</t>
  </si>
  <si>
    <t>не расчитываем, берём с решения от 12.11.2014 № 71</t>
  </si>
  <si>
    <t>ИБР (на 37,5%)</t>
  </si>
  <si>
    <t>ИБР (9,4%)</t>
  </si>
  <si>
    <t>Всего доходов собственных, дотации из областного и местного бюджета</t>
  </si>
  <si>
    <t>с учетом налогового потенциала, первой части дотации и субвенций</t>
  </si>
  <si>
    <t>Единный норматив отчислений в бюджеты поселений налога, %</t>
  </si>
  <si>
    <t>Всего дотации из местного бюджета на 2018</t>
  </si>
  <si>
    <t>разница 2019-2018</t>
  </si>
  <si>
    <t>Определение доли расходов  исходя из фактического расхода без субвенций и субсидий</t>
  </si>
  <si>
    <t>Расчет налогового потенциала на 2021 год</t>
  </si>
  <si>
    <t>НДФЛ план на 2021 год</t>
  </si>
  <si>
    <t>НП ндфл на 2021г. (=ПДпосел конс*Норм*(Бнпос/Бнконс пос)</t>
  </si>
  <si>
    <t>Количество жителей на 01.01.2020</t>
  </si>
  <si>
    <t xml:space="preserve">Расчет индекса бюджетных расходов поселений, расположенных на территории муниципального образования «Чердаклинский район» Ульяновской области на 2021 год </t>
  </si>
  <si>
    <t xml:space="preserve">Уровень расчетной бюджетной обеспеченности поселений, расположенных на территории муниципального образования «Чердаклинский район» Ульяновской области на 2021 год </t>
  </si>
  <si>
    <t>Расчет доходного потенциала поселений, расположенных на территории муниципального образования «Чердаклинский район» Ульяновской области на 2021 год</t>
  </si>
  <si>
    <t>Расчет индекса доходного потенциала на 2021 год</t>
  </si>
  <si>
    <t>Расчет дотации из районного фонда финансовой поддержки поселений за счет субвенций из областного фонда компенсаций на 2021 год</t>
  </si>
  <si>
    <t>Расчет  дотации из фонда финансовой поддержки поселений, расположенных на территории муниципального образования «Чердаклинский район»  Ульяновской области на 2021 год</t>
  </si>
  <si>
    <t>Всего дотации из местного бюджета на 2021г.</t>
  </si>
  <si>
    <t>Всего дотации из областного и местного бюджетов на 2021г.</t>
  </si>
  <si>
    <t>Всего собственных и дотаций 2021г. На 1 человека, руб.</t>
  </si>
  <si>
    <t>Всего налоговый потенциал, дотации на 2021г. На 1 человека, руб.</t>
  </si>
  <si>
    <t>Всего налоговый потенциал, дотации на 2021г.</t>
  </si>
  <si>
    <t>Расчет коэффициента масштаба по поселениям, расположенным на территории муниципального образования «Чердаклинский район» Ульяновской области на 2021 год</t>
  </si>
  <si>
    <t>Зем налог план на 2021 год</t>
  </si>
  <si>
    <t>НП зем налог на 2021 год</t>
  </si>
  <si>
    <t>НИФЛ план на 2021 год</t>
  </si>
  <si>
    <t>НП на 2021 год</t>
  </si>
  <si>
    <t>ВСЕГО НП на 2021 год</t>
  </si>
  <si>
    <t>Расчет коэффициента дисперсности по поселениям, расположенным на территории муниципального образования «Чердаклинский район» Ульяновской области на 2021 год</t>
  </si>
  <si>
    <t>Налоговый потенциал на 2021г.</t>
  </si>
  <si>
    <t>Прогноз собственных доходов на 2021г.</t>
  </si>
  <si>
    <t>степень отставания 0,042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</si>
</sst>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_-* #,##0_р_._-;\-* #,##0_р_._-;_-* &quot;-&quot;?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&quot;р.&quot;"/>
    <numFmt numFmtId="184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2" fillId="0" borderId="0" xfId="0" applyNumberFormat="1" applyFont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72" fontId="0" fillId="0" borderId="13" xfId="0" applyNumberForma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wrapText="1"/>
    </xf>
    <xf numFmtId="172" fontId="0" fillId="0" borderId="10" xfId="0" applyNumberForma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172" fontId="0" fillId="0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173" fontId="2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84" fontId="0" fillId="0" borderId="1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184" fontId="0" fillId="0" borderId="10" xfId="0" applyNumberFormat="1" applyBorder="1" applyAlignment="1">
      <alignment/>
    </xf>
    <xf numFmtId="184" fontId="2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2" fontId="0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2" fillId="0" borderId="14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O19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5.875" style="0" customWidth="1"/>
    <col min="2" max="2" width="23.25390625" style="0" customWidth="1"/>
    <col min="3" max="4" width="10.875" style="0" customWidth="1"/>
    <col min="5" max="5" width="9.875" style="0" customWidth="1"/>
    <col min="6" max="6" width="9.25390625" style="0" bestFit="1" customWidth="1"/>
    <col min="7" max="7" width="11.125" style="0" customWidth="1"/>
    <col min="8" max="8" width="10.875" style="0" customWidth="1"/>
    <col min="9" max="9" width="9.25390625" style="0" bestFit="1" customWidth="1"/>
    <col min="10" max="10" width="10.125" style="0" customWidth="1"/>
    <col min="12" max="12" width="13.25390625" style="0" customWidth="1"/>
    <col min="13" max="13" width="12.25390625" style="0" customWidth="1"/>
    <col min="14" max="14" width="11.875" style="0" bestFit="1" customWidth="1"/>
    <col min="15" max="15" width="9.25390625" style="19" bestFit="1" customWidth="1"/>
  </cols>
  <sheetData>
    <row r="3" spans="1:9" ht="18">
      <c r="A3" s="138" t="s">
        <v>136</v>
      </c>
      <c r="B3" s="138"/>
      <c r="C3" s="138"/>
      <c r="D3" s="138"/>
      <c r="E3" s="138"/>
      <c r="F3" s="138"/>
      <c r="G3" s="138"/>
      <c r="H3" s="138"/>
      <c r="I3" s="138"/>
    </row>
    <row r="5" spans="1:14" ht="12.75">
      <c r="A5" s="139" t="s">
        <v>0</v>
      </c>
      <c r="B5" s="140" t="s">
        <v>1</v>
      </c>
      <c r="C5" s="134" t="s">
        <v>91</v>
      </c>
      <c r="D5" s="134"/>
      <c r="E5" s="134"/>
      <c r="F5" s="134"/>
      <c r="G5" s="134" t="s">
        <v>92</v>
      </c>
      <c r="H5" s="134"/>
      <c r="I5" s="134"/>
      <c r="J5" s="134" t="s">
        <v>93</v>
      </c>
      <c r="K5" s="134"/>
      <c r="L5" s="134"/>
      <c r="M5" s="135" t="s">
        <v>156</v>
      </c>
      <c r="N5" s="137"/>
    </row>
    <row r="6" spans="1:15" ht="102">
      <c r="A6" s="139"/>
      <c r="B6" s="141"/>
      <c r="C6" s="11" t="s">
        <v>137</v>
      </c>
      <c r="D6" s="11" t="s">
        <v>132</v>
      </c>
      <c r="E6" s="11" t="s">
        <v>94</v>
      </c>
      <c r="F6" s="47" t="s">
        <v>138</v>
      </c>
      <c r="G6" s="47" t="s">
        <v>152</v>
      </c>
      <c r="H6" s="47" t="s">
        <v>94</v>
      </c>
      <c r="I6" s="47" t="s">
        <v>153</v>
      </c>
      <c r="J6" s="50" t="s">
        <v>154</v>
      </c>
      <c r="K6" s="47" t="s">
        <v>94</v>
      </c>
      <c r="L6" s="50" t="s">
        <v>155</v>
      </c>
      <c r="M6" s="135"/>
      <c r="N6" s="137"/>
      <c r="O6" s="44"/>
    </row>
    <row r="7" spans="1:14" ht="25.5">
      <c r="A7" s="3">
        <v>1</v>
      </c>
      <c r="B7" s="2" t="s">
        <v>3</v>
      </c>
      <c r="C7" s="130">
        <v>188338.7</v>
      </c>
      <c r="D7" s="49">
        <v>15</v>
      </c>
      <c r="E7" s="49">
        <f>C7/C17</f>
        <v>0.3761818180728709</v>
      </c>
      <c r="F7" s="51">
        <f>F17*E7</f>
        <v>15897.706959032173</v>
      </c>
      <c r="G7" s="69">
        <v>12200</v>
      </c>
      <c r="H7" s="51">
        <f>G7/G17</f>
        <v>0.23987416437278805</v>
      </c>
      <c r="I7" s="69">
        <f>I17*H7</f>
        <v>12917.823436885568</v>
      </c>
      <c r="J7" s="51">
        <v>2800</v>
      </c>
      <c r="K7" s="51">
        <f>J7/J17</f>
        <v>0.3795066413662239</v>
      </c>
      <c r="L7" s="51">
        <f>L17*K7</f>
        <v>2794.990512333966</v>
      </c>
      <c r="M7" s="15">
        <f>F7+I7+L7</f>
        <v>31610.520908251707</v>
      </c>
      <c r="N7" s="132"/>
    </row>
    <row r="8" spans="1:14" ht="25.5">
      <c r="A8" s="3">
        <v>2</v>
      </c>
      <c r="B8" s="2" t="s">
        <v>4</v>
      </c>
      <c r="C8" s="130">
        <v>37142.9</v>
      </c>
      <c r="D8" s="49">
        <v>7</v>
      </c>
      <c r="E8" s="49">
        <f>C8/C17</f>
        <v>0.07418806464363847</v>
      </c>
      <c r="F8" s="51">
        <f>F17*E8</f>
        <v>3135.239543485412</v>
      </c>
      <c r="G8" s="69">
        <v>1230</v>
      </c>
      <c r="H8" s="51">
        <f>G8/G17</f>
        <v>0.024184034604797483</v>
      </c>
      <c r="I8" s="69">
        <f>I17*H8</f>
        <v>1302.3707235548563</v>
      </c>
      <c r="J8" s="51">
        <v>1200</v>
      </c>
      <c r="K8" s="51">
        <f>J8/J17</f>
        <v>0.16264570344266738</v>
      </c>
      <c r="L8" s="51">
        <f>L17*K8</f>
        <v>1197.8530767145567</v>
      </c>
      <c r="M8" s="15">
        <f aca="true" t="shared" si="0" ref="M8:M16">F8+I8+L8</f>
        <v>5635.4633437548255</v>
      </c>
      <c r="N8" s="19"/>
    </row>
    <row r="9" spans="1:14" ht="25.5">
      <c r="A9" s="3">
        <v>3</v>
      </c>
      <c r="B9" s="2" t="s">
        <v>5</v>
      </c>
      <c r="C9" s="130">
        <v>5571.4</v>
      </c>
      <c r="D9" s="49">
        <v>7</v>
      </c>
      <c r="E9" s="49">
        <f>C9/C17</f>
        <v>0.011128139788642443</v>
      </c>
      <c r="F9" s="51">
        <f>F17*E9</f>
        <v>470.2829771658817</v>
      </c>
      <c r="G9" s="69">
        <v>1200</v>
      </c>
      <c r="H9" s="51">
        <f>G9/G17</f>
        <v>0.023594180102241447</v>
      </c>
      <c r="I9" s="69">
        <f>I17*H9</f>
        <v>1270.6055839559576</v>
      </c>
      <c r="J9" s="51">
        <v>210</v>
      </c>
      <c r="K9" s="51">
        <f>J9/J17</f>
        <v>0.028462998102466792</v>
      </c>
      <c r="L9" s="51">
        <f>L17*K9</f>
        <v>209.62428842504744</v>
      </c>
      <c r="M9" s="15">
        <f t="shared" si="0"/>
        <v>1950.5128495468866</v>
      </c>
      <c r="N9" s="19"/>
    </row>
    <row r="10" spans="1:14" ht="25.5">
      <c r="A10" s="3">
        <v>4</v>
      </c>
      <c r="B10" s="2" t="s">
        <v>6</v>
      </c>
      <c r="C10" s="130">
        <v>5714.3</v>
      </c>
      <c r="D10" s="49">
        <v>7</v>
      </c>
      <c r="E10" s="49">
        <f>C10/C17</f>
        <v>0.01141356377108797</v>
      </c>
      <c r="F10" s="51">
        <f>F17*E10</f>
        <v>482.3451944608173</v>
      </c>
      <c r="G10" s="69">
        <v>6100</v>
      </c>
      <c r="H10" s="51">
        <f>G10/G17</f>
        <v>0.11993708218639403</v>
      </c>
      <c r="I10" s="69">
        <f>I17*H10</f>
        <v>6458.911718442784</v>
      </c>
      <c r="J10" s="51">
        <v>130</v>
      </c>
      <c r="K10" s="51">
        <f>J10/J17</f>
        <v>0.017619951206288967</v>
      </c>
      <c r="L10" s="51">
        <f>L17*K10</f>
        <v>129.76741664407697</v>
      </c>
      <c r="M10" s="15">
        <f t="shared" si="0"/>
        <v>7071.0243295476785</v>
      </c>
      <c r="N10" s="19"/>
    </row>
    <row r="11" spans="1:14" ht="25.5">
      <c r="A11" s="3">
        <v>5</v>
      </c>
      <c r="B11" s="2" t="s">
        <v>7</v>
      </c>
      <c r="C11" s="130">
        <v>20955.7</v>
      </c>
      <c r="D11" s="49">
        <v>7</v>
      </c>
      <c r="E11" s="49">
        <f>C11/C17</f>
        <v>0.04185625856496652</v>
      </c>
      <c r="F11" s="51">
        <f>F17*E11</f>
        <v>1768.8747863364804</v>
      </c>
      <c r="G11" s="69">
        <v>1380</v>
      </c>
      <c r="H11" s="51">
        <f>G11/G17</f>
        <v>0.027133307117577665</v>
      </c>
      <c r="I11" s="69">
        <f>I17*H11</f>
        <v>1461.1964215493513</v>
      </c>
      <c r="J11" s="51">
        <v>263</v>
      </c>
      <c r="K11" s="51">
        <f>J11/J17</f>
        <v>0.035646516671184604</v>
      </c>
      <c r="L11" s="51">
        <f>L17*K11</f>
        <v>262.52946597994037</v>
      </c>
      <c r="M11" s="15">
        <f t="shared" si="0"/>
        <v>3492.6006738657716</v>
      </c>
      <c r="N11" s="19"/>
    </row>
    <row r="12" spans="1:14" ht="25.5">
      <c r="A12" s="3">
        <v>6</v>
      </c>
      <c r="B12" s="2" t="s">
        <v>8</v>
      </c>
      <c r="C12" s="130">
        <v>5714.3</v>
      </c>
      <c r="D12" s="49">
        <v>7</v>
      </c>
      <c r="E12" s="49">
        <f>C12/C17</f>
        <v>0.01141356377108797</v>
      </c>
      <c r="F12" s="51">
        <f>F17*E12</f>
        <v>482.3451944608173</v>
      </c>
      <c r="G12" s="69">
        <v>3500</v>
      </c>
      <c r="H12" s="51">
        <f>G12/G17</f>
        <v>0.06881635863153755</v>
      </c>
      <c r="I12" s="69">
        <f>I17*H12</f>
        <v>3705.932953204876</v>
      </c>
      <c r="J12" s="51">
        <v>300</v>
      </c>
      <c r="K12" s="51">
        <f>J12/J17</f>
        <v>0.040661425860666844</v>
      </c>
      <c r="L12" s="51">
        <f>L17*K12</f>
        <v>299.46326917863917</v>
      </c>
      <c r="M12" s="15">
        <f t="shared" si="0"/>
        <v>4487.741416844332</v>
      </c>
      <c r="N12" s="19"/>
    </row>
    <row r="13" spans="1:14" ht="25.5">
      <c r="A13" s="3">
        <v>7</v>
      </c>
      <c r="B13" s="2" t="s">
        <v>9</v>
      </c>
      <c r="C13" s="130">
        <v>9000</v>
      </c>
      <c r="D13" s="49">
        <v>7</v>
      </c>
      <c r="E13" s="49">
        <f>C13/C17</f>
        <v>0.017976317998668556</v>
      </c>
      <c r="F13" s="51">
        <f>F17*E13</f>
        <v>759.6917820463322</v>
      </c>
      <c r="G13" s="69">
        <v>2200</v>
      </c>
      <c r="H13" s="51">
        <f>G13/G17</f>
        <v>0.04325599685410932</v>
      </c>
      <c r="I13" s="69">
        <f>I17*H13</f>
        <v>2329.4435705859223</v>
      </c>
      <c r="J13" s="51">
        <v>355</v>
      </c>
      <c r="K13" s="51">
        <f>J13/J17</f>
        <v>0.0481160206017891</v>
      </c>
      <c r="L13" s="51">
        <f>L17*K13</f>
        <v>354.3648685280564</v>
      </c>
      <c r="M13" s="15">
        <f t="shared" si="0"/>
        <v>3443.500221160311</v>
      </c>
      <c r="N13" s="19"/>
    </row>
    <row r="14" spans="1:14" ht="25.5">
      <c r="A14" s="3">
        <v>8</v>
      </c>
      <c r="B14" s="2" t="s">
        <v>10</v>
      </c>
      <c r="C14" s="130">
        <v>6571.4</v>
      </c>
      <c r="D14" s="49">
        <v>7</v>
      </c>
      <c r="E14" s="49">
        <f>C14/C17</f>
        <v>0.013125508455161172</v>
      </c>
      <c r="F14" s="51">
        <f>F17*E14</f>
        <v>554.6931751710297</v>
      </c>
      <c r="G14" s="69">
        <v>1050</v>
      </c>
      <c r="H14" s="51">
        <f>G14/G17</f>
        <v>0.020644907589461265</v>
      </c>
      <c r="I14" s="69">
        <f>I17*H14</f>
        <v>1111.7798859614627</v>
      </c>
      <c r="J14" s="51">
        <v>110</v>
      </c>
      <c r="K14" s="51">
        <f>J14/J17</f>
        <v>0.014909189482244511</v>
      </c>
      <c r="L14" s="51">
        <f>L17*K14</f>
        <v>109.80319869883438</v>
      </c>
      <c r="M14" s="15">
        <f t="shared" si="0"/>
        <v>1776.2762598313268</v>
      </c>
      <c r="N14" s="19"/>
    </row>
    <row r="15" spans="1:14" ht="25.5">
      <c r="A15" s="3">
        <v>9</v>
      </c>
      <c r="B15" s="2" t="s">
        <v>11</v>
      </c>
      <c r="C15" s="130">
        <v>13428.6</v>
      </c>
      <c r="D15" s="49">
        <v>7</v>
      </c>
      <c r="E15" s="49">
        <f>C15/C17</f>
        <v>0.026821864875213396</v>
      </c>
      <c r="F15" s="51">
        <f>F17*E15</f>
        <v>1133.5107849319306</v>
      </c>
      <c r="G15" s="69">
        <v>4200</v>
      </c>
      <c r="H15" s="51">
        <f>G15/G17</f>
        <v>0.08257963035784506</v>
      </c>
      <c r="I15" s="69">
        <f>I17*H15</f>
        <v>4447.119543845851</v>
      </c>
      <c r="J15" s="51">
        <v>450</v>
      </c>
      <c r="K15" s="51">
        <f>J15/J17</f>
        <v>0.060992138791000274</v>
      </c>
      <c r="L15" s="51">
        <f>L17*K15</f>
        <v>449.1949037679588</v>
      </c>
      <c r="M15" s="15">
        <f t="shared" si="0"/>
        <v>6029.82523254574</v>
      </c>
      <c r="N15" s="19"/>
    </row>
    <row r="16" spans="1:14" ht="25.5">
      <c r="A16" s="4">
        <v>10</v>
      </c>
      <c r="B16" s="2" t="s">
        <v>12</v>
      </c>
      <c r="C16" s="130">
        <v>208221.4</v>
      </c>
      <c r="D16" s="49">
        <v>7</v>
      </c>
      <c r="E16" s="49">
        <f>C16/C17</f>
        <v>0.41589490005866275</v>
      </c>
      <c r="F16" s="51">
        <f>F17*E16</f>
        <v>17576.00960290913</v>
      </c>
      <c r="G16" s="69">
        <v>17800</v>
      </c>
      <c r="H16" s="51">
        <f>G16/G17</f>
        <v>0.34998033818324814</v>
      </c>
      <c r="I16" s="69">
        <f>I17*H16</f>
        <v>18847.31616201337</v>
      </c>
      <c r="J16" s="51">
        <v>1560</v>
      </c>
      <c r="K16" s="51">
        <f>J16/J17</f>
        <v>0.2114394144754676</v>
      </c>
      <c r="L16" s="51">
        <f>L17*K16</f>
        <v>1557.2089997289238</v>
      </c>
      <c r="M16" s="15">
        <f t="shared" si="0"/>
        <v>37980.53476465142</v>
      </c>
      <c r="N16" s="19"/>
    </row>
    <row r="17" spans="1:14" ht="12.75">
      <c r="A17" s="3"/>
      <c r="B17" s="11" t="s">
        <v>15</v>
      </c>
      <c r="C17" s="131">
        <f>C7+C8+C9+C10+C11+C12+C13+C14+C15+C16</f>
        <v>500658.69999999995</v>
      </c>
      <c r="D17" s="15"/>
      <c r="E17" s="15">
        <f aca="true" t="shared" si="1" ref="E17:K17">E7+E8+E9+E10+E11+E12+E13+E14+E15+E16</f>
        <v>1</v>
      </c>
      <c r="F17" s="57">
        <v>42260.7</v>
      </c>
      <c r="G17" s="57">
        <f>G7+G8+G9+G10+G11+G12+G13+G14+G15+G16</f>
        <v>50860</v>
      </c>
      <c r="H17" s="57">
        <f t="shared" si="1"/>
        <v>1</v>
      </c>
      <c r="I17" s="57">
        <v>53852.5</v>
      </c>
      <c r="J17" s="57">
        <f t="shared" si="1"/>
        <v>7378</v>
      </c>
      <c r="K17" s="57">
        <f t="shared" si="1"/>
        <v>1</v>
      </c>
      <c r="L17" s="57">
        <v>7364.8</v>
      </c>
      <c r="M17" s="15">
        <f>F17+I17+L17</f>
        <v>103478</v>
      </c>
      <c r="N17" s="19"/>
    </row>
    <row r="18" spans="9:13" ht="12.75">
      <c r="I18" s="19"/>
      <c r="M18" s="19"/>
    </row>
    <row r="19" spans="1:13" ht="17.25" customHeight="1">
      <c r="A19" s="133"/>
      <c r="B19" s="133"/>
      <c r="C19" s="133"/>
      <c r="D19" s="115"/>
      <c r="E19" s="136"/>
      <c r="F19" s="136"/>
      <c r="G19" s="136"/>
      <c r="K19" s="136"/>
      <c r="L19" s="136"/>
      <c r="M19" s="136"/>
    </row>
    <row r="20" ht="40.5" customHeight="1"/>
    <row r="21" ht="40.5" customHeight="1"/>
  </sheetData>
  <sheetProtection/>
  <mergeCells count="11">
    <mergeCell ref="A3:I3"/>
    <mergeCell ref="A5:A6"/>
    <mergeCell ref="B5:B6"/>
    <mergeCell ref="C5:F5"/>
    <mergeCell ref="G5:I5"/>
    <mergeCell ref="A19:C19"/>
    <mergeCell ref="J5:L5"/>
    <mergeCell ref="M5:M6"/>
    <mergeCell ref="E19:G19"/>
    <mergeCell ref="K19:M19"/>
    <mergeCell ref="N5:N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8"/>
  <sheetViews>
    <sheetView zoomScalePageLayoutView="0" workbookViewId="0" topLeftCell="A1">
      <selection activeCell="D6" sqref="D6:D16"/>
    </sheetView>
  </sheetViews>
  <sheetFormatPr defaultColWidth="9.00390625" defaultRowHeight="12.75"/>
  <cols>
    <col min="1" max="1" width="5.625" style="0" customWidth="1"/>
    <col min="2" max="2" width="33.625" style="0" customWidth="1"/>
    <col min="3" max="3" width="11.875" style="39" customWidth="1"/>
    <col min="4" max="4" width="15.75390625" style="19" customWidth="1"/>
  </cols>
  <sheetData>
    <row r="2" spans="1:4" ht="39" customHeight="1">
      <c r="A2" s="142" t="s">
        <v>144</v>
      </c>
      <c r="B2" s="142"/>
      <c r="C2" s="142"/>
      <c r="D2" s="142"/>
    </row>
    <row r="3" spans="1:4" ht="12.75">
      <c r="A3" s="10"/>
      <c r="B3" s="10"/>
      <c r="C3" s="37"/>
      <c r="D3" s="70"/>
    </row>
    <row r="5" spans="1:6" ht="38.25">
      <c r="A5" s="2" t="s">
        <v>0</v>
      </c>
      <c r="B5" s="2" t="s">
        <v>1</v>
      </c>
      <c r="C5" s="38" t="s">
        <v>13</v>
      </c>
      <c r="D5" s="71" t="s">
        <v>109</v>
      </c>
      <c r="E5" s="81"/>
      <c r="F5" s="82"/>
    </row>
    <row r="6" spans="1:6" ht="25.5">
      <c r="A6" s="3">
        <v>1</v>
      </c>
      <c r="B6" s="2" t="s">
        <v>3</v>
      </c>
      <c r="C6" s="6">
        <f>'Коэф.масшт.'!C5</f>
        <v>12483</v>
      </c>
      <c r="D6" s="127">
        <f>C6*(D16/C16)</f>
        <v>4580.762626998608</v>
      </c>
      <c r="E6" s="82"/>
      <c r="F6" s="82"/>
    </row>
    <row r="7" spans="1:6" ht="12.75">
      <c r="A7" s="3">
        <v>2</v>
      </c>
      <c r="B7" s="2" t="s">
        <v>4</v>
      </c>
      <c r="C7" s="6">
        <f>'Коэф.масшт.'!C6</f>
        <v>7787</v>
      </c>
      <c r="D7" s="127">
        <f>C7*D16/C16</f>
        <v>2857.5181107456665</v>
      </c>
      <c r="E7" s="82"/>
      <c r="F7" s="82"/>
    </row>
    <row r="8" spans="1:6" ht="12.75">
      <c r="A8" s="3">
        <v>3</v>
      </c>
      <c r="B8" s="2" t="s">
        <v>5</v>
      </c>
      <c r="C8" s="6">
        <f>'Коэф.масшт.'!C7</f>
        <v>1656</v>
      </c>
      <c r="D8" s="127">
        <f>C8*D16/C16</f>
        <v>607.6858856292313</v>
      </c>
      <c r="E8" s="82"/>
      <c r="F8" s="82"/>
    </row>
    <row r="9" spans="1:6" ht="12.75">
      <c r="A9" s="3">
        <v>4</v>
      </c>
      <c r="B9" s="2" t="s">
        <v>6</v>
      </c>
      <c r="C9" s="6">
        <f>'Коэф.масшт.'!C8</f>
        <v>1413</v>
      </c>
      <c r="D9" s="127">
        <f>C9*D16/C16</f>
        <v>518.514587194507</v>
      </c>
      <c r="E9" s="82"/>
      <c r="F9" s="82"/>
    </row>
    <row r="10" spans="1:6" ht="12.75">
      <c r="A10" s="3">
        <v>5</v>
      </c>
      <c r="B10" s="2" t="s">
        <v>7</v>
      </c>
      <c r="C10" s="6">
        <f>'Коэф.масшт.'!C9</f>
        <v>2173</v>
      </c>
      <c r="D10" s="127">
        <f>C10*D16/C16</f>
        <v>797.4042448504346</v>
      </c>
      <c r="E10" s="82"/>
      <c r="F10" s="82"/>
    </row>
    <row r="11" spans="1:6" ht="12.75">
      <c r="A11" s="3">
        <v>6</v>
      </c>
      <c r="B11" s="2" t="s">
        <v>8</v>
      </c>
      <c r="C11" s="6">
        <f>'Коэф.масшт.'!C10</f>
        <v>2387</v>
      </c>
      <c r="D11" s="127">
        <f>C11*D16/C16</f>
        <v>875.9337010851299</v>
      </c>
      <c r="E11" s="82"/>
      <c r="F11" s="82"/>
    </row>
    <row r="12" spans="1:6" ht="12.75">
      <c r="A12" s="3">
        <v>7</v>
      </c>
      <c r="B12" s="2" t="s">
        <v>9</v>
      </c>
      <c r="C12" s="6">
        <f>'Коэф.масшт.'!C11</f>
        <v>3213</v>
      </c>
      <c r="D12" s="127">
        <f>C12*D16/C16</f>
        <v>1179.0427237480194</v>
      </c>
      <c r="E12" s="82"/>
      <c r="F12" s="82"/>
    </row>
    <row r="13" spans="1:6" ht="25.5">
      <c r="A13" s="3">
        <v>8</v>
      </c>
      <c r="B13" s="2" t="s">
        <v>10</v>
      </c>
      <c r="C13" s="6">
        <f>'Коэф.масшт.'!C12</f>
        <v>2463</v>
      </c>
      <c r="D13" s="127">
        <f>C13*D16/C16</f>
        <v>903.8226668507227</v>
      </c>
      <c r="E13" s="82"/>
      <c r="F13" s="82"/>
    </row>
    <row r="14" spans="1:6" ht="12.75">
      <c r="A14" s="3">
        <v>9</v>
      </c>
      <c r="B14" s="2" t="s">
        <v>11</v>
      </c>
      <c r="C14" s="6">
        <f>'Коэф.масшт.'!C13</f>
        <v>2693</v>
      </c>
      <c r="D14" s="127">
        <f>C14*D16/C16</f>
        <v>988.2234842992269</v>
      </c>
      <c r="E14" s="82"/>
      <c r="F14" s="82"/>
    </row>
    <row r="15" spans="1:6" ht="12.75">
      <c r="A15" s="4">
        <v>10</v>
      </c>
      <c r="B15" s="2" t="s">
        <v>12</v>
      </c>
      <c r="C15" s="6">
        <f>'Коэф.масшт.'!C14</f>
        <v>5386</v>
      </c>
      <c r="D15" s="127">
        <f>C15*D16/C16</f>
        <v>1976.4469685984539</v>
      </c>
      <c r="E15" s="82"/>
      <c r="F15" s="82"/>
    </row>
    <row r="16" spans="1:6" ht="12.75">
      <c r="A16" s="3"/>
      <c r="B16" s="11" t="s">
        <v>15</v>
      </c>
      <c r="C16" s="23">
        <f>SUM(C6:C15)</f>
        <v>41654</v>
      </c>
      <c r="D16" s="128">
        <f>15288.6-3.245</f>
        <v>15285.355</v>
      </c>
      <c r="E16" s="83"/>
      <c r="F16" s="82"/>
    </row>
    <row r="17" spans="2:4" ht="12.75">
      <c r="B17" s="1"/>
      <c r="D17" s="129"/>
    </row>
    <row r="18" spans="2:4" ht="12.75">
      <c r="B18" s="1"/>
      <c r="C18" s="1"/>
      <c r="D18" s="8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V18"/>
  <sheetViews>
    <sheetView tabSelected="1" view="pageBreakPreview" zoomScale="77" zoomScaleNormal="85" zoomScaleSheetLayoutView="77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0" sqref="T10"/>
    </sheetView>
  </sheetViews>
  <sheetFormatPr defaultColWidth="9.00390625" defaultRowHeight="12.75"/>
  <cols>
    <col min="1" max="1" width="3.625" style="0" customWidth="1"/>
    <col min="2" max="2" width="19.00390625" style="0" customWidth="1"/>
    <col min="3" max="3" width="12.25390625" style="0" customWidth="1"/>
    <col min="4" max="4" width="11.00390625" style="0" customWidth="1"/>
    <col min="5" max="5" width="12.75390625" style="19" customWidth="1"/>
    <col min="6" max="6" width="12.375" style="27" customWidth="1"/>
    <col min="7" max="7" width="12.00390625" style="34" customWidth="1"/>
    <col min="8" max="8" width="10.875" style="34" customWidth="1"/>
    <col min="9" max="9" width="16.125" style="0" customWidth="1"/>
    <col min="10" max="10" width="11.25390625" style="93" customWidth="1"/>
    <col min="11" max="11" width="11.125" style="46" customWidth="1"/>
    <col min="12" max="12" width="13.375" style="46" customWidth="1"/>
    <col min="13" max="13" width="16.75390625" style="46" customWidth="1"/>
    <col min="14" max="14" width="13.875" style="46" customWidth="1"/>
    <col min="15" max="15" width="13.125" style="31" customWidth="1"/>
    <col min="16" max="16" width="0.2421875" style="31" hidden="1" customWidth="1"/>
    <col min="17" max="17" width="9.25390625" style="78" hidden="1" customWidth="1"/>
    <col min="18" max="18" width="12.75390625" style="97" customWidth="1"/>
    <col min="19" max="19" width="11.25390625" style="93" customWidth="1"/>
    <col min="20" max="20" width="10.875" style="93" customWidth="1"/>
    <col min="21" max="21" width="11.25390625" style="46" customWidth="1"/>
    <col min="22" max="22" width="10.625" style="93" customWidth="1"/>
  </cols>
  <sheetData>
    <row r="1" spans="1:20" ht="54" customHeight="1">
      <c r="A1" s="147" t="s">
        <v>145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72"/>
      <c r="O1" s="80"/>
      <c r="P1" s="80"/>
      <c r="Q1" s="99"/>
      <c r="R1" s="92"/>
      <c r="S1" s="92"/>
      <c r="T1" s="92"/>
    </row>
    <row r="2" spans="15:17" ht="1.5" customHeight="1">
      <c r="O2" s="27"/>
      <c r="P2" s="27"/>
      <c r="Q2" s="123"/>
    </row>
    <row r="3" spans="1:22" ht="174" customHeight="1">
      <c r="A3" s="2" t="s">
        <v>0</v>
      </c>
      <c r="B3" s="2" t="s">
        <v>1</v>
      </c>
      <c r="C3" s="28" t="s">
        <v>13</v>
      </c>
      <c r="D3" s="28" t="s">
        <v>158</v>
      </c>
      <c r="E3" s="25" t="s">
        <v>159</v>
      </c>
      <c r="F3" s="26" t="s">
        <v>89</v>
      </c>
      <c r="G3" s="41" t="s">
        <v>88</v>
      </c>
      <c r="H3" s="41" t="s">
        <v>102</v>
      </c>
      <c r="I3" s="2" t="s">
        <v>114</v>
      </c>
      <c r="J3" s="47" t="s">
        <v>97</v>
      </c>
      <c r="K3" s="109" t="s">
        <v>117</v>
      </c>
      <c r="L3" s="41" t="s">
        <v>122</v>
      </c>
      <c r="M3" s="2" t="s">
        <v>103</v>
      </c>
      <c r="N3" s="11" t="s">
        <v>107</v>
      </c>
      <c r="O3" s="26" t="s">
        <v>146</v>
      </c>
      <c r="P3" s="26" t="s">
        <v>133</v>
      </c>
      <c r="Q3" s="124" t="s">
        <v>134</v>
      </c>
      <c r="R3" s="56" t="s">
        <v>147</v>
      </c>
      <c r="S3" s="113" t="s">
        <v>130</v>
      </c>
      <c r="T3" s="47" t="s">
        <v>148</v>
      </c>
      <c r="U3" s="94" t="s">
        <v>150</v>
      </c>
      <c r="V3" s="94" t="s">
        <v>149</v>
      </c>
    </row>
    <row r="4" spans="1:22" ht="12.75">
      <c r="A4" s="18">
        <v>1</v>
      </c>
      <c r="B4" s="18">
        <v>2</v>
      </c>
      <c r="C4" s="18">
        <v>3</v>
      </c>
      <c r="D4" s="18"/>
      <c r="E4" s="43">
        <v>4</v>
      </c>
      <c r="F4" s="126" t="s">
        <v>90</v>
      </c>
      <c r="G4" s="43">
        <v>5</v>
      </c>
      <c r="H4" s="43">
        <v>6</v>
      </c>
      <c r="I4" s="18">
        <v>7</v>
      </c>
      <c r="J4" s="66">
        <v>8</v>
      </c>
      <c r="K4" s="36"/>
      <c r="L4" s="36"/>
      <c r="M4" s="36"/>
      <c r="N4" s="36"/>
      <c r="O4" s="68"/>
      <c r="P4" s="68"/>
      <c r="Q4" s="125"/>
      <c r="R4" s="106"/>
      <c r="S4" s="96"/>
      <c r="T4" s="96"/>
      <c r="U4" s="4"/>
      <c r="V4" s="96"/>
    </row>
    <row r="5" spans="1:22" ht="23.25" customHeight="1">
      <c r="A5" s="3">
        <v>1</v>
      </c>
      <c r="B5" s="2" t="s">
        <v>3</v>
      </c>
      <c r="C5" s="6">
        <f>'Коэф.масшт.'!C5</f>
        <v>12483</v>
      </c>
      <c r="D5" s="6">
        <f>'Налоговый потен'!M7</f>
        <v>31610.520908251707</v>
      </c>
      <c r="E5" s="8">
        <v>46341.4</v>
      </c>
      <c r="F5" s="20">
        <f>'субв от числ уточ'!D6</f>
        <v>4580.762626998608</v>
      </c>
      <c r="G5" s="5">
        <f>ИБР!S7</f>
        <v>1.1625724939635322</v>
      </c>
      <c r="H5" s="5">
        <f>БО!D6</f>
        <v>0.8746599214122545</v>
      </c>
      <c r="I5" s="8"/>
      <c r="J5" s="57"/>
      <c r="K5" s="90">
        <f>БО!G6</f>
        <v>0.8569053082552507</v>
      </c>
      <c r="L5" s="88">
        <f aca="true" t="shared" si="0" ref="L5:L14">E5+F5+J5</f>
        <v>50922.16262699861</v>
      </c>
      <c r="M5" s="57"/>
      <c r="N5" s="62"/>
      <c r="O5" s="20">
        <f aca="true" t="shared" si="1" ref="O5:O14">J5+N5</f>
        <v>0</v>
      </c>
      <c r="P5" s="15">
        <v>0</v>
      </c>
      <c r="Q5" s="49">
        <f aca="true" t="shared" si="2" ref="Q5:Q14">O5-P5</f>
        <v>0</v>
      </c>
      <c r="R5" s="62">
        <f aca="true" t="shared" si="3" ref="R5:R14">F5+O5</f>
        <v>4580.762626998608</v>
      </c>
      <c r="S5" s="69">
        <f>E5+R5</f>
        <v>50922.16262699861</v>
      </c>
      <c r="T5" s="57">
        <f>S5/C5*1000</f>
        <v>4079.3208865656184</v>
      </c>
      <c r="U5" s="51">
        <f aca="true" t="shared" si="4" ref="U5:U14">D5+R5</f>
        <v>36191.28353525032</v>
      </c>
      <c r="V5" s="57">
        <f>U5/C5*1000</f>
        <v>2899.245656913428</v>
      </c>
    </row>
    <row r="6" spans="1:22" ht="39.75" customHeight="1">
      <c r="A6" s="3">
        <v>2</v>
      </c>
      <c r="B6" s="2" t="s">
        <v>4</v>
      </c>
      <c r="C6" s="6">
        <f>'Коэф.масшт.'!C6</f>
        <v>7787</v>
      </c>
      <c r="D6" s="6">
        <f>'Налоговый потен'!M8</f>
        <v>5635.4633437548255</v>
      </c>
      <c r="E6" s="8">
        <v>5900</v>
      </c>
      <c r="F6" s="20">
        <f>'субв от числ уточ'!D7</f>
        <v>2857.5181107456665</v>
      </c>
      <c r="G6" s="5">
        <f>ИБР!S8</f>
        <v>1.2718232310260689</v>
      </c>
      <c r="H6" s="5">
        <f>БО!D7</f>
        <v>0.30077206847088234</v>
      </c>
      <c r="I6" s="8">
        <f>(E15/C15)*(H16-H6)*G6*C6</f>
        <v>12187.11970916883</v>
      </c>
      <c r="J6" s="62">
        <f>I6*0.039</f>
        <v>475.2976686575844</v>
      </c>
      <c r="K6" s="90">
        <f>БО!G7</f>
        <v>0.3111573396612717</v>
      </c>
      <c r="L6" s="88">
        <f t="shared" si="0"/>
        <v>9232.81577940325</v>
      </c>
      <c r="M6" s="57">
        <f>(L15/C15)*(K16-K6)*G6*C6</f>
        <v>122.38863368466663</v>
      </c>
      <c r="N6" s="62">
        <f>(4000-J15)*M6/M15</f>
        <v>23.03637931190128</v>
      </c>
      <c r="O6" s="20">
        <f t="shared" si="1"/>
        <v>498.33404796948565</v>
      </c>
      <c r="P6" s="15">
        <v>241.34851528354503</v>
      </c>
      <c r="Q6" s="49">
        <f t="shared" si="2"/>
        <v>256.9855326859406</v>
      </c>
      <c r="R6" s="62">
        <f t="shared" si="3"/>
        <v>3355.852158715152</v>
      </c>
      <c r="S6" s="69">
        <f aca="true" t="shared" si="5" ref="S6:S14">E6+R6</f>
        <v>9255.852158715152</v>
      </c>
      <c r="T6" s="57">
        <f>S6/C6*1000</f>
        <v>1188.6287605901057</v>
      </c>
      <c r="U6" s="51">
        <f t="shared" si="4"/>
        <v>8991.315502469977</v>
      </c>
      <c r="V6" s="57">
        <f>U6/C6*1000</f>
        <v>1154.6571853692024</v>
      </c>
    </row>
    <row r="7" spans="1:22" ht="42" customHeight="1">
      <c r="A7" s="3">
        <v>3</v>
      </c>
      <c r="B7" s="2" t="s">
        <v>5</v>
      </c>
      <c r="C7" s="6">
        <f>'Коэф.масшт.'!C7</f>
        <v>1656</v>
      </c>
      <c r="D7" s="6">
        <f>'Налоговый потен'!M9</f>
        <v>1950.5128495468866</v>
      </c>
      <c r="E7" s="8">
        <v>2146.8</v>
      </c>
      <c r="F7" s="20">
        <f>'субв от числ уточ'!D8</f>
        <v>607.6858856292313</v>
      </c>
      <c r="G7" s="5">
        <f>ИБР!S9</f>
        <v>4.318206254576966</v>
      </c>
      <c r="H7" s="5">
        <f>БО!D8</f>
        <v>0.12547142209731432</v>
      </c>
      <c r="I7" s="8">
        <f>(E15/C15)*(H16-H7)*G7*C7</f>
        <v>12297.06924945418</v>
      </c>
      <c r="J7" s="62">
        <f aca="true" t="shared" si="6" ref="J7:J13">I7*0.039</f>
        <v>479.585700728713</v>
      </c>
      <c r="K7" s="90">
        <f>БО!G8</f>
        <v>0.14596915686592316</v>
      </c>
      <c r="L7" s="88">
        <f t="shared" si="0"/>
        <v>3234.0715863579444</v>
      </c>
      <c r="M7" s="57">
        <f>(L15/C15)*(K16-K7)*G7*C7</f>
        <v>3887.244275386804</v>
      </c>
      <c r="N7" s="62">
        <f>(4000-J15)*M7/M15</f>
        <v>731.6695260815401</v>
      </c>
      <c r="O7" s="20">
        <f t="shared" si="1"/>
        <v>1211.2552268102531</v>
      </c>
      <c r="P7" s="15">
        <v>941.1911940223606</v>
      </c>
      <c r="Q7" s="49">
        <f t="shared" si="2"/>
        <v>270.06403278789253</v>
      </c>
      <c r="R7" s="62">
        <f t="shared" si="3"/>
        <v>1818.9411124394844</v>
      </c>
      <c r="S7" s="69">
        <f t="shared" si="5"/>
        <v>3965.741112439485</v>
      </c>
      <c r="T7" s="57">
        <f>S7/C7*1000</f>
        <v>2394.7712031639403</v>
      </c>
      <c r="U7" s="51">
        <f t="shared" si="4"/>
        <v>3769.453961986371</v>
      </c>
      <c r="V7" s="57">
        <f>U7/C7*1000</f>
        <v>2276.240315209161</v>
      </c>
    </row>
    <row r="8" spans="1:22" ht="36" customHeight="1">
      <c r="A8" s="3">
        <v>4</v>
      </c>
      <c r="B8" s="2" t="s">
        <v>6</v>
      </c>
      <c r="C8" s="6">
        <f>'Коэф.масшт.'!C8</f>
        <v>1413</v>
      </c>
      <c r="D8" s="6">
        <f>'Налоговый потен'!M10</f>
        <v>7071.0243295476785</v>
      </c>
      <c r="E8" s="8">
        <v>6872.1</v>
      </c>
      <c r="F8" s="20">
        <f>'субв от числ уточ'!D9</f>
        <v>518.514587194507</v>
      </c>
      <c r="G8" s="5">
        <f>ИБР!S10</f>
        <v>4.002057758525366</v>
      </c>
      <c r="H8" s="5">
        <f>БО!D9</f>
        <v>0.4707216064956178</v>
      </c>
      <c r="I8" s="8">
        <f>(E15/C15)*(H16-H8)*G8*C8</f>
        <v>4277.459660128482</v>
      </c>
      <c r="J8" s="62">
        <f t="shared" si="6"/>
        <v>166.8209267450108</v>
      </c>
      <c r="K8" s="90">
        <f>БО!G9</f>
        <v>0.4713031002957745</v>
      </c>
      <c r="L8" s="88">
        <f t="shared" si="0"/>
        <v>7557.435513939518</v>
      </c>
      <c r="M8" s="57"/>
      <c r="N8" s="62">
        <f>(4000-J15)*M8/M15</f>
        <v>0</v>
      </c>
      <c r="O8" s="20">
        <f t="shared" si="1"/>
        <v>166.8209267450108</v>
      </c>
      <c r="P8" s="15">
        <v>125.43453098840365</v>
      </c>
      <c r="Q8" s="49">
        <f t="shared" si="2"/>
        <v>41.38639575660716</v>
      </c>
      <c r="R8" s="62">
        <f t="shared" si="3"/>
        <v>685.3355139395178</v>
      </c>
      <c r="S8" s="69">
        <f t="shared" si="5"/>
        <v>7557.435513939518</v>
      </c>
      <c r="T8" s="57">
        <f>S8/C8*1000</f>
        <v>5348.50354843561</v>
      </c>
      <c r="U8" s="51">
        <f t="shared" si="4"/>
        <v>7756.3598434871965</v>
      </c>
      <c r="V8" s="57">
        <f>U8/C8*1000</f>
        <v>5489.285098009339</v>
      </c>
    </row>
    <row r="9" spans="1:22" ht="25.5">
      <c r="A9" s="3">
        <v>5</v>
      </c>
      <c r="B9" s="2" t="s">
        <v>7</v>
      </c>
      <c r="C9" s="6">
        <f>'Коэф.масшт.'!C9</f>
        <v>2173</v>
      </c>
      <c r="D9" s="6">
        <f>'Налоговый потен'!M11</f>
        <v>3492.6006738657716</v>
      </c>
      <c r="E9" s="8">
        <v>5436.7</v>
      </c>
      <c r="F9" s="20">
        <f>'субв от числ уточ'!D10</f>
        <v>797.4042448504346</v>
      </c>
      <c r="G9" s="5">
        <f>ИБР!S11</f>
        <v>2.612664844037444</v>
      </c>
      <c r="H9" s="5">
        <f>БО!D10</f>
        <v>0.26502608268580247</v>
      </c>
      <c r="I9" s="8">
        <f>(E15/C15)*(H16-H9)*G9*C9</f>
        <v>7552.499179448712</v>
      </c>
      <c r="J9" s="62">
        <f t="shared" si="6"/>
        <v>294.54746799849977</v>
      </c>
      <c r="K9" s="90">
        <f>БО!G10</f>
        <v>0.2774734111862878</v>
      </c>
      <c r="L9" s="88">
        <f t="shared" si="0"/>
        <v>6528.651712848934</v>
      </c>
      <c r="M9" s="57">
        <f>(L15/C15)*(K16-K9)*G9*C9</f>
        <v>685.1642218378847</v>
      </c>
      <c r="N9" s="62">
        <f>(4000-J15)*M9/M15</f>
        <v>128.9637969639221</v>
      </c>
      <c r="O9" s="20">
        <f t="shared" si="1"/>
        <v>423.5112649624219</v>
      </c>
      <c r="P9" s="15">
        <v>541.2806891713745</v>
      </c>
      <c r="Q9" s="49">
        <f t="shared" si="2"/>
        <v>-117.76942420895267</v>
      </c>
      <c r="R9" s="62">
        <f t="shared" si="3"/>
        <v>1220.9155098128565</v>
      </c>
      <c r="S9" s="69">
        <f t="shared" si="5"/>
        <v>6657.6155098128565</v>
      </c>
      <c r="T9" s="57">
        <f>S9/C9*1000</f>
        <v>3063.789926282953</v>
      </c>
      <c r="U9" s="51">
        <f t="shared" si="4"/>
        <v>4713.516183678628</v>
      </c>
      <c r="V9" s="57">
        <f>U9/C9*1000</f>
        <v>2169.1284784531194</v>
      </c>
    </row>
    <row r="10" spans="1:22" ht="35.25" customHeight="1">
      <c r="A10" s="3">
        <v>6</v>
      </c>
      <c r="B10" s="2" t="s">
        <v>8</v>
      </c>
      <c r="C10" s="6">
        <f>'Коэф.масшт.'!C10</f>
        <v>2387</v>
      </c>
      <c r="D10" s="6">
        <f>'Налоговый потен'!M12</f>
        <v>4487.741416844332</v>
      </c>
      <c r="E10" s="51">
        <v>4201.4</v>
      </c>
      <c r="F10" s="20">
        <f>'субв от числ уточ'!D11</f>
        <v>875.9337010851299</v>
      </c>
      <c r="G10" s="5">
        <f>ИБР!S12</f>
        <v>2.071996882669724</v>
      </c>
      <c r="H10" s="5">
        <f>БО!D11</f>
        <v>0.38036031881284055</v>
      </c>
      <c r="I10" s="8">
        <f>(E15/C15)*(H16-H10)*G10*C10</f>
        <v>4987.983895663402</v>
      </c>
      <c r="J10" s="62">
        <f t="shared" si="6"/>
        <v>194.5313719308727</v>
      </c>
      <c r="K10" s="90">
        <f>БО!G11</f>
        <v>0.38615443019015</v>
      </c>
      <c r="L10" s="88">
        <f t="shared" si="0"/>
        <v>5271.865073016002</v>
      </c>
      <c r="M10" s="57"/>
      <c r="N10" s="62">
        <f>(4000-J15)*M10/M15</f>
        <v>0</v>
      </c>
      <c r="O10" s="20">
        <f t="shared" si="1"/>
        <v>194.5313719308727</v>
      </c>
      <c r="P10" s="15">
        <v>108.70195746812571</v>
      </c>
      <c r="Q10" s="49">
        <f t="shared" si="2"/>
        <v>85.82941446274698</v>
      </c>
      <c r="R10" s="62">
        <f t="shared" si="3"/>
        <v>1070.4650730160026</v>
      </c>
      <c r="S10" s="69">
        <f t="shared" si="5"/>
        <v>5271.8650730160025</v>
      </c>
      <c r="T10" s="57">
        <f>S10/C10*1000</f>
        <v>2208.5735538399676</v>
      </c>
      <c r="U10" s="51">
        <f t="shared" si="4"/>
        <v>5558.206489860335</v>
      </c>
      <c r="V10" s="57">
        <f>U10/C10*1000</f>
        <v>2328.5322538166465</v>
      </c>
    </row>
    <row r="11" spans="1:22" ht="39.75" customHeight="1">
      <c r="A11" s="3">
        <v>7</v>
      </c>
      <c r="B11" s="2" t="s">
        <v>9</v>
      </c>
      <c r="C11" s="6">
        <f>'Коэф.масшт.'!C11</f>
        <v>3213</v>
      </c>
      <c r="D11" s="6">
        <f>'Налоговый потен'!M13</f>
        <v>3443.500221160311</v>
      </c>
      <c r="E11" s="8">
        <v>3230</v>
      </c>
      <c r="F11" s="20">
        <f>'субв от числ уточ'!D12</f>
        <v>1179.0427237480194</v>
      </c>
      <c r="G11" s="5">
        <f>ИБР!S13</f>
        <v>2.2264055377100993</v>
      </c>
      <c r="H11" s="5">
        <f>БО!D12</f>
        <v>0.22664190426388092</v>
      </c>
      <c r="I11" s="8">
        <f>(E15/C15)*(H16-H11)*G11*C11</f>
        <v>10282.229203121069</v>
      </c>
      <c r="J11" s="62">
        <f t="shared" si="6"/>
        <v>401.0069389217217</v>
      </c>
      <c r="K11" s="90">
        <f>БО!G12</f>
        <v>0.24130347791577542</v>
      </c>
      <c r="L11" s="88">
        <f t="shared" si="0"/>
        <v>4810.049662669741</v>
      </c>
      <c r="M11" s="57">
        <f>(L15/C15)*(K16-K11)*G11*C11</f>
        <v>1695.4077044125545</v>
      </c>
      <c r="N11" s="62">
        <f>(4000-J15)*M11/M15</f>
        <v>319.11505007724026</v>
      </c>
      <c r="O11" s="62">
        <f t="shared" si="1"/>
        <v>720.121988998962</v>
      </c>
      <c r="P11" s="15">
        <v>541.9637901983019</v>
      </c>
      <c r="Q11" s="49">
        <f t="shared" si="2"/>
        <v>178.1581988006601</v>
      </c>
      <c r="R11" s="62">
        <f t="shared" si="3"/>
        <v>1899.1647127469814</v>
      </c>
      <c r="S11" s="69">
        <f t="shared" si="5"/>
        <v>5129.164712746981</v>
      </c>
      <c r="T11" s="57">
        <f>S11/C11*1000</f>
        <v>1596.3786843283478</v>
      </c>
      <c r="U11" s="51">
        <f t="shared" si="4"/>
        <v>5342.664933907292</v>
      </c>
      <c r="V11" s="57">
        <f>U11/C11*1000</f>
        <v>1662.8275549042305</v>
      </c>
    </row>
    <row r="12" spans="1:22" ht="36" customHeight="1">
      <c r="A12" s="3">
        <v>8</v>
      </c>
      <c r="B12" s="2" t="s">
        <v>10</v>
      </c>
      <c r="C12" s="6">
        <f>'Коэф.масшт.'!C12</f>
        <v>2463</v>
      </c>
      <c r="D12" s="6">
        <f>'Налоговый потен'!M14</f>
        <v>1776.2762598313268</v>
      </c>
      <c r="E12" s="8">
        <v>1779.5</v>
      </c>
      <c r="F12" s="20">
        <f>'субв от числ уточ'!D13</f>
        <v>903.8226668507227</v>
      </c>
      <c r="G12" s="5">
        <f>ИБР!S14</f>
        <v>2.0376155184652713</v>
      </c>
      <c r="H12" s="5">
        <f>БО!D13</f>
        <v>0.18730028078893676</v>
      </c>
      <c r="I12" s="8">
        <f>(E15/C15)*(H16-H12)*G12*C12</f>
        <v>7764.56400869994</v>
      </c>
      <c r="J12" s="62">
        <f t="shared" si="6"/>
        <v>302.8179963392977</v>
      </c>
      <c r="K12" s="90">
        <f>БО!G13</f>
        <v>0.20423133115257472</v>
      </c>
      <c r="L12" s="88">
        <f t="shared" si="0"/>
        <v>2986.1406631900204</v>
      </c>
      <c r="M12" s="57">
        <f>(L15/C15)*(K16-K12)*G12*C12</f>
        <v>1787.786890621518</v>
      </c>
      <c r="N12" s="62">
        <f>(4000-J15)*M12/M15</f>
        <v>336.50295539136795</v>
      </c>
      <c r="O12" s="20">
        <f t="shared" si="1"/>
        <v>639.3209517306657</v>
      </c>
      <c r="P12" s="15">
        <v>400.6436276232705</v>
      </c>
      <c r="Q12" s="49">
        <f t="shared" si="2"/>
        <v>238.67732410739518</v>
      </c>
      <c r="R12" s="62">
        <f t="shared" si="3"/>
        <v>1543.1436185813884</v>
      </c>
      <c r="S12" s="69">
        <f t="shared" si="5"/>
        <v>3322.643618581388</v>
      </c>
      <c r="T12" s="57">
        <f>S12/C12*1000</f>
        <v>1349.022987649772</v>
      </c>
      <c r="U12" s="51">
        <f t="shared" si="4"/>
        <v>3319.419878412715</v>
      </c>
      <c r="V12" s="57">
        <f>U12/C12*1000</f>
        <v>1347.71412034621</v>
      </c>
    </row>
    <row r="13" spans="1:22" ht="38.25" customHeight="1">
      <c r="A13" s="3">
        <v>9</v>
      </c>
      <c r="B13" s="2" t="s">
        <v>11</v>
      </c>
      <c r="C13" s="6">
        <f>'Коэф.масшт.'!C13</f>
        <v>2693</v>
      </c>
      <c r="D13" s="6">
        <f>'Налоговый потен'!M15</f>
        <v>6029.82523254574</v>
      </c>
      <c r="E13" s="8">
        <v>5845.6</v>
      </c>
      <c r="F13" s="20">
        <f>'субв от числ уточ'!D14</f>
        <v>988.2234842992269</v>
      </c>
      <c r="G13" s="5">
        <f>ИБР!S15</f>
        <v>1.9042192721871523</v>
      </c>
      <c r="H13" s="5">
        <f>БО!D14</f>
        <v>0.47999567476463834</v>
      </c>
      <c r="I13" s="8">
        <f>(E15/C15)*(H16-H13)*G13*C13</f>
        <v>3746.262073136636</v>
      </c>
      <c r="J13" s="62">
        <f t="shared" si="6"/>
        <v>146.1042208523288</v>
      </c>
      <c r="K13" s="90">
        <f>БО!G14</f>
        <v>0.4800421809333602</v>
      </c>
      <c r="L13" s="88">
        <f t="shared" si="0"/>
        <v>6979.9277051515555</v>
      </c>
      <c r="M13" s="57"/>
      <c r="N13" s="62">
        <f>(5400-J15)*M13/M15</f>
        <v>0</v>
      </c>
      <c r="O13" s="20">
        <f t="shared" si="1"/>
        <v>146.1042208523288</v>
      </c>
      <c r="P13" s="15">
        <v>99.43569524461826</v>
      </c>
      <c r="Q13" s="49">
        <f t="shared" si="2"/>
        <v>46.66852560771055</v>
      </c>
      <c r="R13" s="62">
        <f t="shared" si="3"/>
        <v>1134.3277051515556</v>
      </c>
      <c r="S13" s="69">
        <f t="shared" si="5"/>
        <v>6979.927705151556</v>
      </c>
      <c r="T13" s="57">
        <f>S13/C13*1000</f>
        <v>2591.8780932608825</v>
      </c>
      <c r="U13" s="51">
        <f t="shared" si="4"/>
        <v>7164.152937697296</v>
      </c>
      <c r="V13" s="57">
        <f>U13/C13*1000</f>
        <v>2660.2870173402507</v>
      </c>
    </row>
    <row r="14" spans="1:22" ht="36" customHeight="1">
      <c r="A14" s="4">
        <v>10</v>
      </c>
      <c r="B14" s="2" t="s">
        <v>12</v>
      </c>
      <c r="C14" s="6">
        <f>'Коэф.масшт.'!C14</f>
        <v>5386</v>
      </c>
      <c r="D14" s="6">
        <f>'Налоговый потен'!M16</f>
        <v>37980.53476465142</v>
      </c>
      <c r="E14" s="8">
        <v>34458.5</v>
      </c>
      <c r="F14" s="20">
        <f>'субв от числ уточ'!D15</f>
        <v>1976.4469685984539</v>
      </c>
      <c r="G14" s="5">
        <f>ИБР!S16</f>
        <v>1.4618192948509303</v>
      </c>
      <c r="H14" s="5">
        <f>БО!D15</f>
        <v>1.7799462632267182</v>
      </c>
      <c r="I14" s="8"/>
      <c r="J14" s="62"/>
      <c r="K14" s="90">
        <f>БО!G15</f>
        <v>1.7438153550071915</v>
      </c>
      <c r="L14" s="88">
        <f t="shared" si="0"/>
        <v>36434.94696859845</v>
      </c>
      <c r="M14" s="57"/>
      <c r="N14" s="62"/>
      <c r="O14" s="20">
        <f t="shared" si="1"/>
        <v>0</v>
      </c>
      <c r="P14" s="15">
        <v>0</v>
      </c>
      <c r="Q14" s="49">
        <f t="shared" si="2"/>
        <v>0</v>
      </c>
      <c r="R14" s="62">
        <f t="shared" si="3"/>
        <v>1976.4469685984539</v>
      </c>
      <c r="S14" s="69">
        <f t="shared" si="5"/>
        <v>36434.94696859845</v>
      </c>
      <c r="T14" s="57">
        <f>S14/C14*1000</f>
        <v>6764.750644002684</v>
      </c>
      <c r="U14" s="51">
        <f t="shared" si="4"/>
        <v>39956.98173324987</v>
      </c>
      <c r="V14" s="57">
        <f>U14/C14*1000</f>
        <v>7418.674662690284</v>
      </c>
    </row>
    <row r="15" spans="1:22" ht="12.75">
      <c r="A15" s="3"/>
      <c r="B15" s="11" t="s">
        <v>15</v>
      </c>
      <c r="C15" s="15">
        <f>SUM(C5:C14)</f>
        <v>41654</v>
      </c>
      <c r="D15" s="15">
        <f>SUM(D5:D14)</f>
        <v>103478</v>
      </c>
      <c r="E15" s="15">
        <f>SUM(E5:E14)</f>
        <v>116212</v>
      </c>
      <c r="F15" s="20">
        <f>SUM(F5:F14)</f>
        <v>15285.355000000001</v>
      </c>
      <c r="G15" s="8"/>
      <c r="H15" s="15"/>
      <c r="I15" s="15">
        <f>SUM(I6:I14)</f>
        <v>63095.18697882125</v>
      </c>
      <c r="J15" s="20">
        <f>SUM(J6:J14)</f>
        <v>2460.7122921740283</v>
      </c>
      <c r="K15" s="57"/>
      <c r="L15" s="73">
        <f>SUM(L5:L14)</f>
        <v>133958.06729217403</v>
      </c>
      <c r="M15" s="15">
        <f>SUM(M6:M14)</f>
        <v>8177.991725943428</v>
      </c>
      <c r="N15" s="20">
        <f>SUM(N6:N14)</f>
        <v>1539.287707825972</v>
      </c>
      <c r="O15" s="20">
        <f>SUM(O5:O14)</f>
        <v>4000.000000000001</v>
      </c>
      <c r="P15" s="15">
        <f>SUM(P5:P14)</f>
        <v>3000.0000000000005</v>
      </c>
      <c r="Q15" s="15">
        <f>SUM(Q5:Q14)</f>
        <v>1000.0000000000005</v>
      </c>
      <c r="R15" s="20">
        <f>SUM(R5:R14)</f>
        <v>19285.355000000003</v>
      </c>
      <c r="S15" s="57">
        <f>E15+R15</f>
        <v>135497.355</v>
      </c>
      <c r="T15" s="57">
        <f>S15/C15*1000</f>
        <v>3252.925409324435</v>
      </c>
      <c r="U15" s="57">
        <f>SUM(U5:U14)</f>
        <v>122763.35500000001</v>
      </c>
      <c r="V15" s="57">
        <f>U15/C15*1000</f>
        <v>2947.216473808038</v>
      </c>
    </row>
    <row r="16" spans="1:22" ht="38.25">
      <c r="A16" s="3"/>
      <c r="B16" s="2"/>
      <c r="C16" s="9"/>
      <c r="D16" s="9"/>
      <c r="E16" s="15"/>
      <c r="F16" s="15"/>
      <c r="G16" s="5" t="s">
        <v>96</v>
      </c>
      <c r="H16" s="5">
        <f>БО!D17</f>
        <v>0.741844471881306</v>
      </c>
      <c r="I16" s="8"/>
      <c r="J16" s="56" t="s">
        <v>160</v>
      </c>
      <c r="K16" s="91">
        <v>0.315</v>
      </c>
      <c r="L16" s="91"/>
      <c r="M16" s="51"/>
      <c r="N16" s="91">
        <f>N17-J15</f>
        <v>1539.2877078259717</v>
      </c>
      <c r="O16" s="15"/>
      <c r="P16" s="15"/>
      <c r="Q16" s="49"/>
      <c r="R16" s="57"/>
      <c r="S16" s="57">
        <f>E15+F15+O15</f>
        <v>135497.355</v>
      </c>
      <c r="T16" s="96"/>
      <c r="U16" s="4"/>
      <c r="V16" s="57"/>
    </row>
    <row r="17" spans="2:17" ht="12.75">
      <c r="B17" s="1"/>
      <c r="C17" s="19"/>
      <c r="D17" s="19"/>
      <c r="H17" s="42"/>
      <c r="I17" s="19"/>
      <c r="J17" s="97"/>
      <c r="K17" s="45"/>
      <c r="L17" s="45"/>
      <c r="M17" s="45"/>
      <c r="N17" s="45">
        <v>4000</v>
      </c>
      <c r="O17" s="27"/>
      <c r="P17" s="27"/>
      <c r="Q17" s="123"/>
    </row>
    <row r="18" spans="2:5" ht="12.75">
      <c r="B18" s="143"/>
      <c r="C18" s="143"/>
      <c r="D18" s="143"/>
      <c r="E18" s="143"/>
    </row>
  </sheetData>
  <sheetProtection/>
  <mergeCells count="2">
    <mergeCell ref="A1:M1"/>
    <mergeCell ref="B18:E18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F1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375" style="0" customWidth="1"/>
    <col min="2" max="2" width="35.875" style="0" customWidth="1"/>
    <col min="3" max="3" width="16.125" style="0" customWidth="1"/>
    <col min="4" max="4" width="25.25390625" style="0" customWidth="1"/>
  </cols>
  <sheetData>
    <row r="2" spans="1:4" ht="52.5" customHeight="1">
      <c r="A2" s="142" t="s">
        <v>151</v>
      </c>
      <c r="B2" s="142"/>
      <c r="C2" s="142"/>
      <c r="D2" s="142"/>
    </row>
    <row r="4" spans="1:6" ht="38.25">
      <c r="A4" s="2" t="s">
        <v>0</v>
      </c>
      <c r="B4" s="2" t="s">
        <v>1</v>
      </c>
      <c r="C4" s="2" t="s">
        <v>13</v>
      </c>
      <c r="D4" s="2" t="s">
        <v>62</v>
      </c>
      <c r="E4" s="1"/>
      <c r="F4" s="1"/>
    </row>
    <row r="5" spans="1:4" ht="12.75">
      <c r="A5" s="3">
        <v>1</v>
      </c>
      <c r="B5" s="2" t="s">
        <v>3</v>
      </c>
      <c r="C5" s="22">
        <v>12483</v>
      </c>
      <c r="D5" s="8">
        <f>(0.6*C5+0.4*C16)/C5</f>
        <v>0.7334743250821116</v>
      </c>
    </row>
    <row r="6" spans="1:4" ht="12.75">
      <c r="A6" s="3">
        <v>2</v>
      </c>
      <c r="B6" s="2" t="s">
        <v>4</v>
      </c>
      <c r="C6" s="22">
        <v>7787</v>
      </c>
      <c r="D6" s="8">
        <f>(0.6*C6+0.4*C16)/C6</f>
        <v>0.8139668678566842</v>
      </c>
    </row>
    <row r="7" spans="1:4" ht="12.75">
      <c r="A7" s="3">
        <v>3</v>
      </c>
      <c r="B7" s="2" t="s">
        <v>5</v>
      </c>
      <c r="C7" s="22">
        <v>1656</v>
      </c>
      <c r="D7" s="8">
        <f>(0.6*C7+0.4*C16)/C7</f>
        <v>1.606135265700483</v>
      </c>
    </row>
    <row r="8" spans="1:4" ht="12.75">
      <c r="A8" s="3">
        <v>4</v>
      </c>
      <c r="B8" s="2" t="s">
        <v>6</v>
      </c>
      <c r="C8" s="22">
        <v>1413</v>
      </c>
      <c r="D8" s="8">
        <f>(0.6*C8+0.4*C16)/C8</f>
        <v>1.779164897381458</v>
      </c>
    </row>
    <row r="9" spans="1:4" ht="12.75">
      <c r="A9" s="3">
        <v>5</v>
      </c>
      <c r="B9" s="2" t="s">
        <v>7</v>
      </c>
      <c r="C9" s="22">
        <v>2173</v>
      </c>
      <c r="D9" s="8">
        <f>(0.6*C9+0.4*C16)/C9</f>
        <v>1.3667556373676943</v>
      </c>
    </row>
    <row r="10" spans="1:4" ht="12.75">
      <c r="A10" s="3">
        <v>6</v>
      </c>
      <c r="B10" s="2" t="s">
        <v>8</v>
      </c>
      <c r="C10" s="22">
        <v>2387</v>
      </c>
      <c r="D10" s="8">
        <f>(0.6*C10+0.4*C16)/C10</f>
        <v>1.2980142438206952</v>
      </c>
    </row>
    <row r="11" spans="1:4" ht="12.75">
      <c r="A11" s="3">
        <v>7</v>
      </c>
      <c r="B11" s="2" t="s">
        <v>9</v>
      </c>
      <c r="C11" s="22">
        <v>3213</v>
      </c>
      <c r="D11" s="8">
        <f>(0.6*C11+0.4*C16)/C11</f>
        <v>1.118568316215375</v>
      </c>
    </row>
    <row r="12" spans="1:4" ht="25.5">
      <c r="A12" s="3">
        <v>8</v>
      </c>
      <c r="B12" s="2" t="s">
        <v>10</v>
      </c>
      <c r="C12" s="22">
        <v>2463</v>
      </c>
      <c r="D12" s="8">
        <f>(0.6*C12+0.4*C16)/C12</f>
        <v>1.2764758424685343</v>
      </c>
    </row>
    <row r="13" spans="1:4" ht="12.75">
      <c r="A13" s="3">
        <v>9</v>
      </c>
      <c r="B13" s="2" t="s">
        <v>11</v>
      </c>
      <c r="C13" s="22">
        <v>2693</v>
      </c>
      <c r="D13" s="8">
        <f>(0.6*C13+0.4*C16)/C13</f>
        <v>1.2187003341997773</v>
      </c>
    </row>
    <row r="14" spans="1:4" ht="12.75">
      <c r="A14" s="4">
        <v>10</v>
      </c>
      <c r="B14" s="2" t="s">
        <v>12</v>
      </c>
      <c r="C14" s="22">
        <v>5386</v>
      </c>
      <c r="D14" s="8">
        <f>(0.6*C14+0.4*C16)/C14</f>
        <v>0.9093501670998887</v>
      </c>
    </row>
    <row r="15" spans="1:4" ht="12.75">
      <c r="A15" s="3"/>
      <c r="B15" s="11" t="s">
        <v>64</v>
      </c>
      <c r="C15" s="23">
        <f>SUM(C5:C14)</f>
        <v>41654</v>
      </c>
      <c r="D15" s="20">
        <f>(0.6*C15+0.4*C16)/C15</f>
        <v>0.6399999999999999</v>
      </c>
    </row>
    <row r="16" spans="1:4" ht="12.75">
      <c r="A16" s="3"/>
      <c r="B16" s="11" t="s">
        <v>2</v>
      </c>
      <c r="C16" s="9">
        <f>C15/10</f>
        <v>4165.4</v>
      </c>
      <c r="D16" s="3"/>
    </row>
    <row r="17" ht="12.75">
      <c r="B17" s="1"/>
    </row>
    <row r="18" ht="20.25" customHeight="1">
      <c r="B18" s="1"/>
    </row>
    <row r="19" spans="2:4" ht="12.75">
      <c r="B19" s="143"/>
      <c r="C19" s="143"/>
      <c r="D19" s="143"/>
    </row>
  </sheetData>
  <sheetProtection/>
  <mergeCells count="2">
    <mergeCell ref="A2:D2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7.00390625" style="0" customWidth="1"/>
    <col min="2" max="2" width="37.00390625" style="0" customWidth="1"/>
    <col min="3" max="3" width="15.75390625" style="0" customWidth="1"/>
    <col min="4" max="4" width="16.625" style="0" customWidth="1"/>
  </cols>
  <sheetData>
    <row r="2" spans="1:4" ht="28.5" customHeight="1">
      <c r="A2" s="144" t="s">
        <v>111</v>
      </c>
      <c r="B2" s="144"/>
      <c r="C2" s="144"/>
      <c r="D2" s="144"/>
    </row>
    <row r="3" spans="1:4" ht="38.25">
      <c r="A3" s="9" t="s">
        <v>17</v>
      </c>
      <c r="B3" s="9" t="s">
        <v>16</v>
      </c>
      <c r="C3" s="11" t="s">
        <v>112</v>
      </c>
      <c r="D3" s="11" t="s">
        <v>72</v>
      </c>
    </row>
    <row r="4" spans="1:4" s="78" customFormat="1" ht="12.75">
      <c r="A4" s="76">
        <v>1</v>
      </c>
      <c r="B4" s="76" t="s">
        <v>3</v>
      </c>
      <c r="C4" s="77"/>
      <c r="D4" s="77"/>
    </row>
    <row r="5" spans="1:4" s="78" customFormat="1" ht="12.75">
      <c r="A5" s="76">
        <v>2</v>
      </c>
      <c r="B5" s="76" t="s">
        <v>4</v>
      </c>
      <c r="C5" s="77"/>
      <c r="D5" s="77"/>
    </row>
    <row r="6" spans="1:4" s="78" customFormat="1" ht="12.75">
      <c r="A6" s="76">
        <v>3</v>
      </c>
      <c r="B6" s="76" t="s">
        <v>5</v>
      </c>
      <c r="C6" s="77"/>
      <c r="D6" s="77"/>
    </row>
    <row r="7" spans="1:4" s="78" customFormat="1" ht="12.75">
      <c r="A7" s="76">
        <v>4</v>
      </c>
      <c r="B7" s="76" t="s">
        <v>6</v>
      </c>
      <c r="C7" s="77"/>
      <c r="D7" s="77"/>
    </row>
    <row r="8" spans="1:4" s="78" customFormat="1" ht="12.75">
      <c r="A8" s="76">
        <v>5</v>
      </c>
      <c r="B8" s="76" t="s">
        <v>7</v>
      </c>
      <c r="C8" s="77"/>
      <c r="D8" s="77"/>
    </row>
    <row r="9" spans="1:4" s="78" customFormat="1" ht="12.75">
      <c r="A9" s="76">
        <v>6</v>
      </c>
      <c r="B9" s="76" t="s">
        <v>8</v>
      </c>
      <c r="C9" s="77"/>
      <c r="D9" s="77"/>
    </row>
    <row r="10" spans="1:4" s="78" customFormat="1" ht="12.75">
      <c r="A10" s="76">
        <v>7</v>
      </c>
      <c r="B10" s="76" t="s">
        <v>9</v>
      </c>
      <c r="C10" s="77"/>
      <c r="D10" s="77"/>
    </row>
    <row r="11" spans="1:4" s="78" customFormat="1" ht="25.5">
      <c r="A11" s="76">
        <v>8</v>
      </c>
      <c r="B11" s="79" t="s">
        <v>52</v>
      </c>
      <c r="C11" s="77"/>
      <c r="D11" s="77"/>
    </row>
    <row r="12" spans="1:4" s="78" customFormat="1" ht="12.75">
      <c r="A12" s="76">
        <v>9</v>
      </c>
      <c r="B12" s="79" t="s">
        <v>11</v>
      </c>
      <c r="C12" s="77"/>
      <c r="D12" s="77"/>
    </row>
    <row r="13" spans="1:4" s="78" customFormat="1" ht="12.75">
      <c r="A13" s="76">
        <v>10</v>
      </c>
      <c r="B13" s="79" t="s">
        <v>12</v>
      </c>
      <c r="C13" s="77"/>
      <c r="D13" s="77"/>
    </row>
    <row r="14" spans="1:4" ht="17.25" customHeight="1">
      <c r="A14" s="3"/>
      <c r="B14" s="14" t="s">
        <v>59</v>
      </c>
      <c r="C14" s="73">
        <f>C4+C5+C6+C7+C8+C9+C10+C11+C12+C13</f>
        <v>0</v>
      </c>
      <c r="D14" s="73"/>
    </row>
    <row r="15" spans="1:4" ht="12.75">
      <c r="A15" s="3"/>
      <c r="B15" s="2" t="s">
        <v>73</v>
      </c>
      <c r="C15" s="75">
        <f>C14/10</f>
        <v>0</v>
      </c>
      <c r="D15" s="74"/>
    </row>
    <row r="16" spans="2:4" ht="18" customHeight="1">
      <c r="B16" s="143"/>
      <c r="C16" s="143"/>
      <c r="D16" s="143"/>
    </row>
  </sheetData>
  <sheetProtection/>
  <mergeCells count="2">
    <mergeCell ref="A2:D2"/>
    <mergeCell ref="B16:D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58"/>
  <sheetViews>
    <sheetView view="pageBreakPreview" zoomScaleSheetLayoutView="100" zoomScalePageLayoutView="0" workbookViewId="0" topLeftCell="A25">
      <selection activeCell="C41" sqref="C41"/>
    </sheetView>
  </sheetViews>
  <sheetFormatPr defaultColWidth="9.00390625" defaultRowHeight="12.75"/>
  <cols>
    <col min="1" max="1" width="6.25390625" style="0" customWidth="1"/>
    <col min="2" max="2" width="35.25390625" style="0" customWidth="1"/>
    <col min="3" max="3" width="18.00390625" style="0" customWidth="1"/>
    <col min="4" max="4" width="16.00390625" style="0" customWidth="1"/>
  </cols>
  <sheetData>
    <row r="1" spans="1:4" ht="79.5" customHeight="1">
      <c r="A1" s="145" t="s">
        <v>157</v>
      </c>
      <c r="B1" s="145"/>
      <c r="C1" s="145"/>
      <c r="D1" s="145"/>
    </row>
    <row r="2" spans="1:4" ht="38.25">
      <c r="A2" s="9" t="s">
        <v>17</v>
      </c>
      <c r="B2" s="9" t="s">
        <v>16</v>
      </c>
      <c r="C2" s="11" t="s">
        <v>139</v>
      </c>
      <c r="D2" s="11" t="s">
        <v>61</v>
      </c>
    </row>
    <row r="3" spans="1:4" ht="12.75">
      <c r="A3" s="9">
        <v>1</v>
      </c>
      <c r="B3" s="9" t="s">
        <v>3</v>
      </c>
      <c r="C3" s="9">
        <f>C4+C5+C6</f>
        <v>12483</v>
      </c>
      <c r="D3" s="15">
        <f>(D4/C3)+1</f>
        <v>1.0163422254265801</v>
      </c>
    </row>
    <row r="4" spans="1:4" ht="12.75">
      <c r="A4" s="3"/>
      <c r="B4" s="12" t="s">
        <v>24</v>
      </c>
      <c r="C4" s="3">
        <v>11280</v>
      </c>
      <c r="D4" s="3">
        <f>C6</f>
        <v>204</v>
      </c>
    </row>
    <row r="5" spans="1:4" ht="12.75">
      <c r="A5" s="3"/>
      <c r="B5" s="3" t="s">
        <v>18</v>
      </c>
      <c r="C5" s="3">
        <v>999</v>
      </c>
      <c r="D5" s="3"/>
    </row>
    <row r="6" spans="1:4" ht="12.75">
      <c r="A6" s="3"/>
      <c r="B6" s="3" t="s">
        <v>63</v>
      </c>
      <c r="C6" s="3">
        <v>204</v>
      </c>
      <c r="D6" s="3"/>
    </row>
    <row r="7" spans="1:4" ht="12.75">
      <c r="A7" s="9">
        <v>2</v>
      </c>
      <c r="B7" s="9" t="s">
        <v>4</v>
      </c>
      <c r="C7" s="9">
        <f>C8+C9+C10</f>
        <v>7787</v>
      </c>
      <c r="D7" s="9">
        <v>1</v>
      </c>
    </row>
    <row r="8" spans="1:4" ht="12.75">
      <c r="A8" s="3"/>
      <c r="B8" s="12" t="s">
        <v>26</v>
      </c>
      <c r="C8" s="3">
        <v>6124</v>
      </c>
      <c r="D8" s="3"/>
    </row>
    <row r="9" spans="1:4" ht="12.75">
      <c r="A9" s="3"/>
      <c r="B9" s="3" t="s">
        <v>19</v>
      </c>
      <c r="C9" s="3">
        <v>1134</v>
      </c>
      <c r="D9" s="3"/>
    </row>
    <row r="10" spans="1:4" ht="12.75">
      <c r="A10" s="3"/>
      <c r="B10" s="3" t="s">
        <v>20</v>
      </c>
      <c r="C10" s="3">
        <v>529</v>
      </c>
      <c r="D10" s="3"/>
    </row>
    <row r="11" spans="1:4" ht="12.75">
      <c r="A11" s="9">
        <v>3</v>
      </c>
      <c r="B11" s="9" t="s">
        <v>5</v>
      </c>
      <c r="C11" s="9">
        <f>C12+C13+C14+C15+C16+C17+C18+C19+C20</f>
        <v>1656</v>
      </c>
      <c r="D11" s="15">
        <f>(D12/C11)+1</f>
        <v>2</v>
      </c>
    </row>
    <row r="12" spans="1:4" ht="12.75">
      <c r="A12" s="3"/>
      <c r="B12" s="3" t="s">
        <v>21</v>
      </c>
      <c r="C12" s="3">
        <v>317</v>
      </c>
      <c r="D12" s="3">
        <f>C12+C13+C14+C15+C16+C18+C19+C20+C17</f>
        <v>1656</v>
      </c>
    </row>
    <row r="13" spans="1:4" ht="12.75">
      <c r="A13" s="3"/>
      <c r="B13" s="3" t="s">
        <v>22</v>
      </c>
      <c r="C13" s="3">
        <v>30</v>
      </c>
      <c r="D13" s="3"/>
    </row>
    <row r="14" spans="1:4" ht="12.75">
      <c r="A14" s="3"/>
      <c r="B14" s="3" t="s">
        <v>23</v>
      </c>
      <c r="C14" s="3">
        <v>40</v>
      </c>
      <c r="D14" s="3"/>
    </row>
    <row r="15" spans="1:4" ht="12.75">
      <c r="A15" s="3"/>
      <c r="B15" s="12" t="s">
        <v>25</v>
      </c>
      <c r="C15" s="3">
        <v>359</v>
      </c>
      <c r="D15" s="3"/>
    </row>
    <row r="16" spans="1:4" ht="12.75">
      <c r="A16" s="3"/>
      <c r="B16" s="3" t="s">
        <v>27</v>
      </c>
      <c r="C16" s="3">
        <v>316</v>
      </c>
      <c r="D16" s="3"/>
    </row>
    <row r="17" spans="1:4" ht="12.75">
      <c r="A17" s="3"/>
      <c r="B17" s="3" t="s">
        <v>28</v>
      </c>
      <c r="C17" s="3">
        <v>478</v>
      </c>
      <c r="D17" s="3"/>
    </row>
    <row r="18" spans="1:4" ht="12.75">
      <c r="A18" s="3"/>
      <c r="B18" s="3" t="s">
        <v>29</v>
      </c>
      <c r="C18" s="3">
        <v>96</v>
      </c>
      <c r="D18" s="3"/>
    </row>
    <row r="19" spans="1:4" ht="12.75">
      <c r="A19" s="3"/>
      <c r="B19" s="3" t="s">
        <v>30</v>
      </c>
      <c r="C19" s="3">
        <v>18</v>
      </c>
      <c r="D19" s="3"/>
    </row>
    <row r="20" spans="1:4" ht="12.75">
      <c r="A20" s="3"/>
      <c r="B20" s="3" t="s">
        <v>31</v>
      </c>
      <c r="C20" s="3">
        <v>2</v>
      </c>
      <c r="D20" s="3"/>
    </row>
    <row r="21" spans="1:4" ht="12.75">
      <c r="A21" s="9">
        <v>4</v>
      </c>
      <c r="B21" s="9" t="s">
        <v>6</v>
      </c>
      <c r="C21" s="9">
        <f>C22+C23+C24+C25+C26+C27</f>
        <v>1413</v>
      </c>
      <c r="D21" s="15">
        <f>(D22/C21)+1</f>
        <v>1.6065109695682944</v>
      </c>
    </row>
    <row r="22" spans="1:4" ht="12.75">
      <c r="A22" s="3"/>
      <c r="B22" s="12" t="s">
        <v>32</v>
      </c>
      <c r="C22" s="3">
        <v>556</v>
      </c>
      <c r="D22" s="3">
        <f>C23+C24+C25+C26+C27</f>
        <v>857</v>
      </c>
    </row>
    <row r="23" spans="1:4" ht="12.75">
      <c r="A23" s="3"/>
      <c r="B23" s="3" t="s">
        <v>33</v>
      </c>
      <c r="C23" s="3">
        <v>388</v>
      </c>
      <c r="D23" s="3"/>
    </row>
    <row r="24" spans="1:4" ht="12.75">
      <c r="A24" s="3"/>
      <c r="B24" s="3" t="s">
        <v>34</v>
      </c>
      <c r="C24" s="3">
        <v>38</v>
      </c>
      <c r="D24" s="3"/>
    </row>
    <row r="25" spans="1:4" ht="12.75">
      <c r="A25" s="3"/>
      <c r="B25" s="3" t="s">
        <v>35</v>
      </c>
      <c r="C25" s="3">
        <v>351</v>
      </c>
      <c r="D25" s="3"/>
    </row>
    <row r="26" spans="1:4" ht="12.75">
      <c r="A26" s="3"/>
      <c r="B26" s="3" t="s">
        <v>36</v>
      </c>
      <c r="C26" s="3">
        <v>80</v>
      </c>
      <c r="D26" s="3"/>
    </row>
    <row r="27" spans="1:4" ht="12.75">
      <c r="A27" s="3"/>
      <c r="B27" s="3" t="s">
        <v>37</v>
      </c>
      <c r="C27" s="3">
        <v>0</v>
      </c>
      <c r="D27" s="3"/>
    </row>
    <row r="28" spans="1:4" ht="12.75">
      <c r="A28" s="9">
        <v>5</v>
      </c>
      <c r="B28" s="9" t="s">
        <v>7</v>
      </c>
      <c r="C28" s="9">
        <f>C29+C30+C31+C32</f>
        <v>2173</v>
      </c>
      <c r="D28" s="15">
        <f>(D29/C28)+1</f>
        <v>1.3087896916705017</v>
      </c>
    </row>
    <row r="29" spans="1:4" ht="12.75">
      <c r="A29" s="3"/>
      <c r="B29" s="12" t="s">
        <v>38</v>
      </c>
      <c r="C29" s="3">
        <v>1502</v>
      </c>
      <c r="D29" s="3">
        <f>C30+C31+C32</f>
        <v>671</v>
      </c>
    </row>
    <row r="30" spans="1:4" ht="12.75">
      <c r="A30" s="3"/>
      <c r="B30" s="3" t="s">
        <v>39</v>
      </c>
      <c r="C30" s="3">
        <v>29</v>
      </c>
      <c r="D30" s="3"/>
    </row>
    <row r="31" spans="1:4" ht="12.75">
      <c r="A31" s="3"/>
      <c r="B31" s="3" t="s">
        <v>40</v>
      </c>
      <c r="C31" s="3">
        <v>296</v>
      </c>
      <c r="D31" s="3"/>
    </row>
    <row r="32" spans="1:4" ht="12.75">
      <c r="A32" s="3"/>
      <c r="B32" s="3" t="s">
        <v>60</v>
      </c>
      <c r="C32" s="3">
        <v>346</v>
      </c>
      <c r="D32" s="3"/>
    </row>
    <row r="33" spans="1:4" ht="12.75">
      <c r="A33" s="9">
        <v>6</v>
      </c>
      <c r="B33" s="9" t="s">
        <v>8</v>
      </c>
      <c r="C33" s="9">
        <f>C34+C35+C36+C37</f>
        <v>2387</v>
      </c>
      <c r="D33" s="15">
        <f>D34/C33+1</f>
        <v>1.0305823209049016</v>
      </c>
    </row>
    <row r="34" spans="1:4" ht="12.75">
      <c r="A34" s="3"/>
      <c r="B34" s="3" t="s">
        <v>41</v>
      </c>
      <c r="C34" s="3">
        <v>750</v>
      </c>
      <c r="D34" s="3">
        <f>C37</f>
        <v>73</v>
      </c>
    </row>
    <row r="35" spans="1:4" ht="12.75">
      <c r="A35" s="3"/>
      <c r="B35" s="12" t="s">
        <v>42</v>
      </c>
      <c r="C35" s="3">
        <v>797</v>
      </c>
      <c r="D35" s="3"/>
    </row>
    <row r="36" spans="1:4" ht="12.75">
      <c r="A36" s="3"/>
      <c r="B36" s="3" t="s">
        <v>43</v>
      </c>
      <c r="C36" s="3">
        <v>767</v>
      </c>
      <c r="D36" s="3"/>
    </row>
    <row r="37" spans="1:4" ht="12.75">
      <c r="A37" s="3"/>
      <c r="B37" s="3" t="s">
        <v>44</v>
      </c>
      <c r="C37" s="3">
        <v>73</v>
      </c>
      <c r="D37" s="3"/>
    </row>
    <row r="38" spans="1:4" ht="12.75">
      <c r="A38" s="9">
        <v>7</v>
      </c>
      <c r="B38" s="9" t="s">
        <v>9</v>
      </c>
      <c r="C38" s="9">
        <f>C39+C40+C41+C42+C43+C44+C45</f>
        <v>3213</v>
      </c>
      <c r="D38" s="15">
        <f>D39/C38+1</f>
        <v>1.379707438530968</v>
      </c>
    </row>
    <row r="39" spans="1:4" ht="12.75">
      <c r="A39" s="3"/>
      <c r="B39" s="3" t="s">
        <v>45</v>
      </c>
      <c r="C39" s="3">
        <v>591</v>
      </c>
      <c r="D39" s="3">
        <f>C40+C41+C45+C42</f>
        <v>1220</v>
      </c>
    </row>
    <row r="40" spans="1:4" ht="12.75">
      <c r="A40" s="3"/>
      <c r="B40" s="3" t="s">
        <v>46</v>
      </c>
      <c r="C40" s="3">
        <v>133</v>
      </c>
      <c r="D40" s="3"/>
    </row>
    <row r="41" spans="1:4" ht="12.75">
      <c r="A41" s="3"/>
      <c r="B41" s="3" t="s">
        <v>47</v>
      </c>
      <c r="C41" s="3">
        <v>168</v>
      </c>
      <c r="D41" s="3"/>
    </row>
    <row r="42" spans="1:4" ht="12.75">
      <c r="A42" s="3"/>
      <c r="B42" s="3" t="s">
        <v>48</v>
      </c>
      <c r="C42" s="3">
        <v>475</v>
      </c>
      <c r="D42" s="3"/>
    </row>
    <row r="43" spans="1:4" ht="12.75">
      <c r="A43" s="3"/>
      <c r="B43" s="3" t="s">
        <v>49</v>
      </c>
      <c r="C43" s="3">
        <v>786</v>
      </c>
      <c r="D43" s="3"/>
    </row>
    <row r="44" spans="1:4" ht="12.75">
      <c r="A44" s="3"/>
      <c r="B44" s="13" t="s">
        <v>50</v>
      </c>
      <c r="C44" s="4">
        <v>616</v>
      </c>
      <c r="D44" s="3"/>
    </row>
    <row r="45" spans="1:4" ht="12.75">
      <c r="A45" s="3"/>
      <c r="B45" s="4" t="s">
        <v>51</v>
      </c>
      <c r="C45" s="4">
        <v>444</v>
      </c>
      <c r="D45" s="3"/>
    </row>
    <row r="46" spans="1:4" ht="25.5">
      <c r="A46" s="9">
        <v>8</v>
      </c>
      <c r="B46" s="11" t="s">
        <v>52</v>
      </c>
      <c r="C46" s="9">
        <f>C47+C48</f>
        <v>2463</v>
      </c>
      <c r="D46" s="15">
        <f>(D47/C46)+1</f>
        <v>1.0353227771010962</v>
      </c>
    </row>
    <row r="47" spans="1:4" ht="12.75">
      <c r="A47" s="3"/>
      <c r="B47" s="21" t="s">
        <v>53</v>
      </c>
      <c r="C47" s="3">
        <v>2376</v>
      </c>
      <c r="D47" s="3">
        <f>C48</f>
        <v>87</v>
      </c>
    </row>
    <row r="48" spans="1:4" ht="12.75">
      <c r="A48" s="3"/>
      <c r="B48" s="2" t="s">
        <v>65</v>
      </c>
      <c r="C48" s="3">
        <v>87</v>
      </c>
      <c r="D48" s="3"/>
    </row>
    <row r="49" spans="1:4" ht="12.75">
      <c r="A49" s="9">
        <v>9</v>
      </c>
      <c r="B49" s="11" t="s">
        <v>11</v>
      </c>
      <c r="C49" s="9">
        <f>C50+C51</f>
        <v>2693</v>
      </c>
      <c r="D49" s="9">
        <v>1</v>
      </c>
    </row>
    <row r="50" spans="1:4" ht="12.75">
      <c r="A50" s="3"/>
      <c r="B50" s="21" t="s">
        <v>54</v>
      </c>
      <c r="C50" s="3">
        <v>1687</v>
      </c>
      <c r="D50" s="3"/>
    </row>
    <row r="51" spans="1:4" ht="12.75">
      <c r="A51" s="3"/>
      <c r="B51" s="2" t="s">
        <v>55</v>
      </c>
      <c r="C51" s="3">
        <v>1006</v>
      </c>
      <c r="D51" s="3"/>
    </row>
    <row r="52" spans="1:4" ht="12.75">
      <c r="A52" s="9">
        <v>10</v>
      </c>
      <c r="B52" s="11" t="s">
        <v>12</v>
      </c>
      <c r="C52" s="9">
        <f>C53+C54+C55</f>
        <v>5386</v>
      </c>
      <c r="D52" s="15">
        <f>(D53/C52)+1</f>
        <v>1.0336056442629038</v>
      </c>
    </row>
    <row r="53" spans="1:4" ht="12.75">
      <c r="A53" s="3"/>
      <c r="B53" s="21" t="s">
        <v>56</v>
      </c>
      <c r="C53" s="3">
        <v>3600</v>
      </c>
      <c r="D53" s="3">
        <f>C55</f>
        <v>181</v>
      </c>
    </row>
    <row r="54" spans="1:4" ht="12.75">
      <c r="A54" s="3"/>
      <c r="B54" s="2" t="s">
        <v>57</v>
      </c>
      <c r="C54" s="3">
        <v>1605</v>
      </c>
      <c r="D54" s="3"/>
    </row>
    <row r="55" spans="1:4" ht="12.75">
      <c r="A55" s="3"/>
      <c r="B55" s="2" t="s">
        <v>58</v>
      </c>
      <c r="C55" s="3">
        <v>181</v>
      </c>
      <c r="D55" s="3"/>
    </row>
    <row r="56" spans="1:4" ht="30">
      <c r="A56" s="3"/>
      <c r="B56" s="14" t="s">
        <v>59</v>
      </c>
      <c r="C56" s="9">
        <f>C3+C7+C11+C21+C28+C33+C38+C46+C49+C52</f>
        <v>41654</v>
      </c>
      <c r="D56" s="15">
        <f>D57/C56+1</f>
        <v>1</v>
      </c>
    </row>
    <row r="57" ht="12.75">
      <c r="B57" s="1"/>
    </row>
    <row r="58" spans="2:4" ht="15" customHeight="1">
      <c r="B58" s="143"/>
      <c r="C58" s="143"/>
      <c r="D58" s="143"/>
    </row>
  </sheetData>
  <sheetProtection/>
  <mergeCells count="2">
    <mergeCell ref="A1:D1"/>
    <mergeCell ref="B58:D58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G14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2.25390625" style="0" customWidth="1"/>
    <col min="2" max="2" width="11.875" style="0" customWidth="1"/>
    <col min="6" max="6" width="11.625" style="0" customWidth="1"/>
    <col min="7" max="7" width="10.75390625" style="19" customWidth="1"/>
  </cols>
  <sheetData>
    <row r="3" spans="1:7" ht="12.75">
      <c r="A3" s="146" t="s">
        <v>127</v>
      </c>
      <c r="B3" s="146"/>
      <c r="C3" s="146"/>
      <c r="D3" s="146"/>
      <c r="E3" s="146"/>
      <c r="F3" s="146"/>
      <c r="G3" s="146"/>
    </row>
    <row r="4" spans="1:7" ht="36" customHeight="1">
      <c r="A4" s="142" t="s">
        <v>135</v>
      </c>
      <c r="B4" s="142"/>
      <c r="C4" s="142"/>
      <c r="D4" s="142"/>
      <c r="E4" s="142"/>
      <c r="F4" s="142"/>
      <c r="G4" s="142"/>
    </row>
    <row r="6" spans="1:7" ht="89.25">
      <c r="A6" s="3" t="s">
        <v>16</v>
      </c>
      <c r="B6" s="2" t="s">
        <v>124</v>
      </c>
      <c r="C6" s="2" t="s">
        <v>119</v>
      </c>
      <c r="D6" s="2" t="s">
        <v>125</v>
      </c>
      <c r="E6" s="2" t="s">
        <v>120</v>
      </c>
      <c r="F6" s="110" t="s">
        <v>77</v>
      </c>
      <c r="G6" s="86"/>
    </row>
    <row r="7" spans="1:7" ht="27.75" customHeight="1">
      <c r="A7" s="2" t="s">
        <v>74</v>
      </c>
      <c r="B7" s="3">
        <f>22161.4+6783+186+97.6+7.2+1452.1+216.4+3.2+137.6</f>
        <v>31044.5</v>
      </c>
      <c r="C7" s="3">
        <v>2372.1</v>
      </c>
      <c r="D7" s="3">
        <f>B7+C7</f>
        <v>33416.6</v>
      </c>
      <c r="E7" s="3">
        <f>D7-3.2</f>
        <v>33413.4</v>
      </c>
      <c r="F7" s="111">
        <f>E7*100/E11</f>
        <v>27.93155334124689</v>
      </c>
      <c r="G7"/>
    </row>
    <row r="8" spans="1:7" ht="12.75">
      <c r="A8" s="3" t="s">
        <v>123</v>
      </c>
      <c r="B8" s="3">
        <f>308.5+20+760+21735.2+69+700+200+500+900+10420+300+17788.5+9708.6</f>
        <v>63409.799999999996</v>
      </c>
      <c r="C8" s="3">
        <v>426.6</v>
      </c>
      <c r="D8" s="3">
        <f>B8+C8</f>
        <v>63836.399999999994</v>
      </c>
      <c r="E8" s="3">
        <f>D8-308.5-17788.5-20-760-69</f>
        <v>44890.399999999994</v>
      </c>
      <c r="F8" s="111">
        <f>E8*100/E11</f>
        <v>37.52562152040526</v>
      </c>
      <c r="G8"/>
    </row>
    <row r="9" spans="1:7" ht="12.75">
      <c r="A9" s="3" t="s">
        <v>75</v>
      </c>
      <c r="B9" s="3">
        <f>12057.3+9800.9+85+3361.7+8115</f>
        <v>33419.899999999994</v>
      </c>
      <c r="C9" s="3"/>
      <c r="D9" s="3">
        <f>B9+C9</f>
        <v>33419.899999999994</v>
      </c>
      <c r="E9" s="3">
        <f>D9-3361.7</f>
        <v>30058.199999999993</v>
      </c>
      <c r="F9" s="111">
        <f>E9*100/E11</f>
        <v>25.12681189707923</v>
      </c>
      <c r="G9"/>
    </row>
    <row r="10" spans="1:7" ht="12.75">
      <c r="A10" s="3" t="s">
        <v>76</v>
      </c>
      <c r="B10" s="3">
        <f>175+23.9+100.9+7510.1+600+2.4+200+910+1600+200+20+147.8+37.8+253.9+42.1+362.4</f>
        <v>12186.3</v>
      </c>
      <c r="C10" s="3"/>
      <c r="D10" s="3">
        <f>B10+C10</f>
        <v>12186.3</v>
      </c>
      <c r="E10" s="3">
        <f>D10-23.9-600-2.4-253.9-42.1</f>
        <v>11264</v>
      </c>
      <c r="F10" s="111">
        <f>E10*100/E11</f>
        <v>9.416013241268622</v>
      </c>
      <c r="G10"/>
    </row>
    <row r="11" spans="1:6" s="31" customFormat="1" ht="12.75">
      <c r="A11" s="9" t="s">
        <v>14</v>
      </c>
      <c r="B11" s="9">
        <f>SUM(B7:B10)</f>
        <v>140060.49999999997</v>
      </c>
      <c r="C11" s="9">
        <f>SUM(C7:C10)</f>
        <v>2798.7</v>
      </c>
      <c r="D11" s="9">
        <f>SUM(D7:D10)</f>
        <v>142859.19999999998</v>
      </c>
      <c r="E11" s="9">
        <f>E7+E8+E9+E10</f>
        <v>119625.99999999999</v>
      </c>
      <c r="F11" s="112">
        <v>100</v>
      </c>
    </row>
    <row r="12" spans="1:6" ht="12.75">
      <c r="A12" s="98"/>
      <c r="B12">
        <v>115635.6</v>
      </c>
      <c r="F12">
        <f>D11-F11</f>
        <v>142759.19999999998</v>
      </c>
    </row>
    <row r="13" spans="1:7" ht="17.25" customHeight="1">
      <c r="A13" s="87"/>
      <c r="B13" s="7">
        <f>B11-B12</f>
        <v>24424.899999999965</v>
      </c>
      <c r="C13" s="7"/>
      <c r="D13" s="7"/>
      <c r="E13" s="7"/>
      <c r="G13"/>
    </row>
    <row r="14" ht="12.75">
      <c r="B14" s="7"/>
    </row>
  </sheetData>
  <sheetProtection/>
  <mergeCells count="2">
    <mergeCell ref="A4:G4"/>
    <mergeCell ref="A3:G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U19"/>
  <sheetViews>
    <sheetView zoomScalePageLayoutView="0" workbookViewId="0" topLeftCell="A1">
      <pane xSplit="2" ySplit="5" topLeftCell="G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8" sqref="N8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9.375" style="0" bestFit="1" customWidth="1"/>
    <col min="4" max="4" width="11.125" style="0" bestFit="1" customWidth="1"/>
    <col min="5" max="5" width="13.75390625" style="31" customWidth="1"/>
    <col min="6" max="6" width="9.375" style="0" bestFit="1" customWidth="1"/>
    <col min="7" max="7" width="11.25390625" style="0" bestFit="1" customWidth="1"/>
    <col min="8" max="8" width="11.125" style="0" bestFit="1" customWidth="1"/>
    <col min="9" max="9" width="12.25390625" style="31" customWidth="1"/>
    <col min="10" max="10" width="10.125" style="0" customWidth="1"/>
    <col min="11" max="11" width="0.2421875" style="19" hidden="1" customWidth="1"/>
    <col min="12" max="12" width="11.25390625" style="0" bestFit="1" customWidth="1"/>
    <col min="13" max="13" width="11.125" style="0" bestFit="1" customWidth="1"/>
    <col min="14" max="14" width="7.75390625" style="42" customWidth="1"/>
    <col min="15" max="15" width="8.75390625" style="0" bestFit="1" customWidth="1"/>
    <col min="18" max="18" width="9.125" style="42" customWidth="1"/>
    <col min="19" max="19" width="11.25390625" style="31" customWidth="1"/>
    <col min="21" max="21" width="9.125" style="19" customWidth="1"/>
  </cols>
  <sheetData>
    <row r="2" spans="1:15" ht="75.75" customHeight="1">
      <c r="A2" s="147" t="s">
        <v>140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4" spans="1:19" ht="38.25" customHeight="1">
      <c r="A4" s="148" t="s">
        <v>0</v>
      </c>
      <c r="B4" s="148" t="s">
        <v>1</v>
      </c>
      <c r="C4" s="150" t="s">
        <v>66</v>
      </c>
      <c r="D4" s="151"/>
      <c r="E4" s="152"/>
      <c r="F4" s="151" t="s">
        <v>67</v>
      </c>
      <c r="G4" s="151"/>
      <c r="H4" s="151"/>
      <c r="I4" s="152"/>
      <c r="J4" s="151" t="s">
        <v>68</v>
      </c>
      <c r="K4" s="151"/>
      <c r="L4" s="151"/>
      <c r="M4" s="151"/>
      <c r="N4" s="152"/>
      <c r="O4" s="153" t="s">
        <v>80</v>
      </c>
      <c r="P4" s="153"/>
      <c r="Q4" s="153"/>
      <c r="R4" s="153"/>
      <c r="S4" s="139" t="s">
        <v>81</v>
      </c>
    </row>
    <row r="5" spans="1:21" ht="62.25" customHeight="1">
      <c r="A5" s="149"/>
      <c r="B5" s="149"/>
      <c r="C5" s="18" t="s">
        <v>78</v>
      </c>
      <c r="D5" s="18" t="s">
        <v>69</v>
      </c>
      <c r="E5" s="66" t="s">
        <v>121</v>
      </c>
      <c r="F5" s="36" t="s">
        <v>78</v>
      </c>
      <c r="G5" s="52" t="s">
        <v>71</v>
      </c>
      <c r="H5" s="36" t="s">
        <v>69</v>
      </c>
      <c r="I5" s="64" t="s">
        <v>126</v>
      </c>
      <c r="J5" s="36" t="s">
        <v>78</v>
      </c>
      <c r="K5" s="53" t="s">
        <v>79</v>
      </c>
      <c r="L5" s="52" t="s">
        <v>71</v>
      </c>
      <c r="M5" s="36" t="s">
        <v>69</v>
      </c>
      <c r="N5" s="60" t="s">
        <v>128</v>
      </c>
      <c r="O5" s="36" t="s">
        <v>78</v>
      </c>
      <c r="P5" s="52" t="s">
        <v>71</v>
      </c>
      <c r="Q5" s="36" t="s">
        <v>69</v>
      </c>
      <c r="R5" s="60" t="s">
        <v>129</v>
      </c>
      <c r="S5" s="139"/>
      <c r="U5" s="44"/>
    </row>
    <row r="6" spans="1:19" ht="12.75">
      <c r="A6" s="24">
        <v>1</v>
      </c>
      <c r="B6" s="24">
        <v>2</v>
      </c>
      <c r="C6" s="16">
        <v>3</v>
      </c>
      <c r="D6" s="16">
        <v>4</v>
      </c>
      <c r="E6" s="35">
        <v>5</v>
      </c>
      <c r="F6" s="54">
        <v>6</v>
      </c>
      <c r="G6" s="54">
        <v>7</v>
      </c>
      <c r="H6" s="54">
        <v>8</v>
      </c>
      <c r="I6" s="35">
        <v>9</v>
      </c>
      <c r="J6" s="54">
        <v>10</v>
      </c>
      <c r="K6" s="55">
        <v>11</v>
      </c>
      <c r="L6" s="54">
        <v>12</v>
      </c>
      <c r="M6" s="54">
        <v>13</v>
      </c>
      <c r="N6" s="61">
        <v>14</v>
      </c>
      <c r="O6" s="54">
        <v>15</v>
      </c>
      <c r="P6" s="54">
        <v>16</v>
      </c>
      <c r="Q6" s="54">
        <v>17</v>
      </c>
      <c r="R6" s="61">
        <v>18</v>
      </c>
      <c r="S6" s="35">
        <v>19</v>
      </c>
    </row>
    <row r="7" spans="1:19" ht="25.5">
      <c r="A7" s="3">
        <v>1</v>
      </c>
      <c r="B7" s="2" t="s">
        <v>3</v>
      </c>
      <c r="C7" s="6">
        <f>'Коэф.масшт.'!C5</f>
        <v>12483</v>
      </c>
      <c r="D7" s="8">
        <f>'Коэф.масшт.'!D5</f>
        <v>0.7334743250821116</v>
      </c>
      <c r="E7" s="56">
        <f>((C7*D7/C7)/(C17*D17/C17))*'Расчет доли '!F7/100</f>
        <v>0.32011058180415725</v>
      </c>
      <c r="F7" s="6">
        <f>'Коэф.масшт.'!C5</f>
        <v>12483</v>
      </c>
      <c r="G7" s="40">
        <v>1.02</v>
      </c>
      <c r="H7" s="8">
        <f>'Коэф.масшт.'!D5</f>
        <v>0.7334743250821116</v>
      </c>
      <c r="I7" s="57">
        <f>((F7*G7*H7/F7)/(F17*G17*H17/F17))*'Расчет доли '!F9/100</f>
        <v>0.2937260754004511</v>
      </c>
      <c r="J7" s="6">
        <f>'Коэф.масшт.'!C5</f>
        <v>12483</v>
      </c>
      <c r="K7" s="51">
        <f>'Коэф. плот.авт.дорог'!D4</f>
        <v>0</v>
      </c>
      <c r="L7" s="40">
        <v>1.02</v>
      </c>
      <c r="M7" s="8">
        <f>'Коэф.масшт.'!D5</f>
        <v>0.7334743250821116</v>
      </c>
      <c r="N7" s="62">
        <f>(J7*L7*M7/J7)/(J17*L17*M17/J17)*'Расчет доли '!F8/100</f>
        <v>0.43866502369258337</v>
      </c>
      <c r="O7" s="6">
        <f>'Коэф.масшт.'!C5</f>
        <v>12483</v>
      </c>
      <c r="P7" s="40">
        <v>1.02</v>
      </c>
      <c r="Q7" s="8">
        <f>'Коэф.масшт.'!D5</f>
        <v>0.7334743250821116</v>
      </c>
      <c r="R7" s="62">
        <f>(P7*Q7)/(P17*Q17)*'Расчет доли '!F10/100</f>
        <v>0.1100708130663407</v>
      </c>
      <c r="S7" s="20">
        <f>E7+I7+N7+R7</f>
        <v>1.1625724939635322</v>
      </c>
    </row>
    <row r="8" spans="1:19" ht="25.5">
      <c r="A8" s="3">
        <v>2</v>
      </c>
      <c r="B8" s="2" t="s">
        <v>4</v>
      </c>
      <c r="C8" s="6">
        <f>'Коэф.масшт.'!C6</f>
        <v>7787</v>
      </c>
      <c r="D8" s="8">
        <f>'Коэф.масшт.'!D6</f>
        <v>0.8139668678566842</v>
      </c>
      <c r="E8" s="56">
        <f>((C8*D8/C8)/(C17*D17/C17))*'Расчет доли '!F7/100</f>
        <v>0.35523998418041614</v>
      </c>
      <c r="F8" s="6">
        <f>'Коэф.масшт.'!C6</f>
        <v>7787</v>
      </c>
      <c r="G8" s="40">
        <v>1</v>
      </c>
      <c r="H8" s="8">
        <f>'Коэф.масшт.'!D6</f>
        <v>0.8139668678566842</v>
      </c>
      <c r="I8" s="57">
        <f>((F8*G8*H8/F8)/(F17*G17*H17/F17))*'Расчет доли '!F9/100</f>
        <v>0.31956863092327575</v>
      </c>
      <c r="J8" s="6">
        <f>'Коэф.масшт.'!C6</f>
        <v>7787</v>
      </c>
      <c r="K8" s="51">
        <f>'Коэф. плот.авт.дорог'!D5</f>
        <v>0</v>
      </c>
      <c r="L8" s="40">
        <v>1</v>
      </c>
      <c r="M8" s="8">
        <f>'Коэф.масшт.'!D6</f>
        <v>0.8139668678566842</v>
      </c>
      <c r="N8" s="62">
        <f>(L8*M8)/(L17*M17)*'Расчет доли '!F8/100</f>
        <v>0.4772595720834321</v>
      </c>
      <c r="O8" s="6">
        <f>'Коэф.масшт.'!C6</f>
        <v>7787</v>
      </c>
      <c r="P8" s="40">
        <v>1</v>
      </c>
      <c r="Q8" s="8">
        <f>'Коэф.масшт.'!D6</f>
        <v>0.8139668678566842</v>
      </c>
      <c r="R8" s="62">
        <f>(P8*Q8)/(P17*Q17)*'Расчет доли '!F10/100</f>
        <v>0.11975504383894509</v>
      </c>
      <c r="S8" s="20">
        <f aca="true" t="shared" si="0" ref="S8:S16">E8+I8+N8+R8</f>
        <v>1.2718232310260689</v>
      </c>
    </row>
    <row r="9" spans="1:19" ht="25.5">
      <c r="A9" s="3">
        <v>3</v>
      </c>
      <c r="B9" s="2" t="s">
        <v>5</v>
      </c>
      <c r="C9" s="6">
        <f>'Коэф.масшт.'!C7</f>
        <v>1656</v>
      </c>
      <c r="D9" s="8">
        <f>'Коэф.масшт.'!D7</f>
        <v>1.606135265700483</v>
      </c>
      <c r="E9" s="56">
        <f>((C9*D9/C9)/(C17*D17/C17))*'Расчет доли '!F7/100</f>
        <v>0.7009664507370437</v>
      </c>
      <c r="F9" s="6">
        <f>'Коэф.масшт.'!C7</f>
        <v>1656</v>
      </c>
      <c r="G9" s="40">
        <v>2</v>
      </c>
      <c r="H9" s="8">
        <f>'Коэф.масшт.'!D7</f>
        <v>1.606135265700483</v>
      </c>
      <c r="I9" s="57">
        <f>((F9*G9*H9/F9)/(F17*G17*H17/F17))*'Расчет доли '!F9/100</f>
        <v>1.261158084453794</v>
      </c>
      <c r="J9" s="6">
        <f>'Коэф.масшт.'!C7</f>
        <v>1656</v>
      </c>
      <c r="K9" s="51">
        <f>'Коэф. плот.авт.дорог'!D6</f>
        <v>0</v>
      </c>
      <c r="L9" s="40">
        <v>2</v>
      </c>
      <c r="M9" s="8">
        <f>'Коэф.масшт.'!D7</f>
        <v>1.606135265700483</v>
      </c>
      <c r="N9" s="62">
        <f>(L9*M9)/(L17*M17)*'Расчет доли '!F8/100</f>
        <v>1.8834757528516208</v>
      </c>
      <c r="O9" s="6">
        <f>'Коэф.масшт.'!C7</f>
        <v>1656</v>
      </c>
      <c r="P9" s="40">
        <v>2</v>
      </c>
      <c r="Q9" s="8">
        <f>'Коэф.масшт.'!D7</f>
        <v>1.606135265700483</v>
      </c>
      <c r="R9" s="62">
        <f>(P9*Q9)/(P17*Q17)*'Расчет доли '!F10/100</f>
        <v>0.4726059665345077</v>
      </c>
      <c r="S9" s="20">
        <f t="shared" si="0"/>
        <v>4.318206254576966</v>
      </c>
    </row>
    <row r="10" spans="1:19" ht="25.5">
      <c r="A10" s="3">
        <v>4</v>
      </c>
      <c r="B10" s="2" t="s">
        <v>6</v>
      </c>
      <c r="C10" s="6">
        <f>'Коэф.масшт.'!C8</f>
        <v>1413</v>
      </c>
      <c r="D10" s="8">
        <f>'Коэф.масшт.'!D8</f>
        <v>1.779164897381458</v>
      </c>
      <c r="E10" s="56">
        <f>((C10*D10/C10)/(C17*D17/C17))*'Расчет доли '!F7/100</f>
        <v>0.7764818630325664</v>
      </c>
      <c r="F10" s="6">
        <f>'Коэф.масшт.'!C8</f>
        <v>1413</v>
      </c>
      <c r="G10" s="40">
        <v>1.61</v>
      </c>
      <c r="H10" s="8">
        <f>'Коэф.масшт.'!D8</f>
        <v>1.779164897381458</v>
      </c>
      <c r="I10" s="57">
        <f>((F10*G10*H10/F10)/(F17*G17*H17/F17))*'Расчет доли '!F9/100</f>
        <v>1.1246036586520025</v>
      </c>
      <c r="J10" s="6">
        <f>'Коэф.масшт.'!C8</f>
        <v>1413</v>
      </c>
      <c r="K10" s="51">
        <f>'Коэф. плот.авт.дорог'!D7</f>
        <v>0</v>
      </c>
      <c r="L10" s="40">
        <v>1.61</v>
      </c>
      <c r="M10" s="8">
        <f>'Коэф.масшт.'!D8</f>
        <v>1.779164897381458</v>
      </c>
      <c r="N10" s="62">
        <f>(L10*M10)/(L17*M17)*'Расчет доли '!F8/100</f>
        <v>1.6795386310009202</v>
      </c>
      <c r="O10" s="6">
        <f>'Коэф.масшт.'!C8</f>
        <v>1413</v>
      </c>
      <c r="P10" s="40">
        <v>1.61</v>
      </c>
      <c r="Q10" s="8">
        <f>'Коэф.масшт.'!D8</f>
        <v>1.779164897381458</v>
      </c>
      <c r="R10" s="62">
        <f>(P10*Q10)/(P17*Q17)*'Расчет доли '!F10/100</f>
        <v>0.421433605839876</v>
      </c>
      <c r="S10" s="20">
        <f t="shared" si="0"/>
        <v>4.002057758525366</v>
      </c>
    </row>
    <row r="11" spans="1:19" ht="12.75">
      <c r="A11" s="3">
        <v>5</v>
      </c>
      <c r="B11" s="2" t="s">
        <v>7</v>
      </c>
      <c r="C11" s="6">
        <f>'Коэф.масшт.'!C9</f>
        <v>2173</v>
      </c>
      <c r="D11" s="8">
        <f>'Коэф.масшт.'!D9</f>
        <v>1.3667556373676943</v>
      </c>
      <c r="E11" s="56">
        <f>((C11*D11/C11)/(C17*D17/C17))*'Расчет доли '!F7/100</f>
        <v>0.5964938748372757</v>
      </c>
      <c r="F11" s="6">
        <f>'Коэф.масшт.'!C9</f>
        <v>2173</v>
      </c>
      <c r="G11" s="40">
        <v>1.31</v>
      </c>
      <c r="H11" s="8">
        <f>'Коэф.масшт.'!D9</f>
        <v>1.3667556373676943</v>
      </c>
      <c r="I11" s="57">
        <f>((F11*G11*H11/F11)/(F17*G17*H17/F17))*'Расчет доли '!F9/100</f>
        <v>0.7029421479738751</v>
      </c>
      <c r="J11" s="6">
        <f>'Коэф.масшт.'!C9</f>
        <v>2173</v>
      </c>
      <c r="K11" s="51">
        <f>'Коэф. плот.авт.дорог'!D8</f>
        <v>0</v>
      </c>
      <c r="L11" s="40">
        <v>1.31</v>
      </c>
      <c r="M11" s="8">
        <f>'Коэф.масшт.'!D9</f>
        <v>1.3667556373676943</v>
      </c>
      <c r="N11" s="62">
        <f>(L11*M11)/(L17*M17)*'Расчет доли '!F8/100</f>
        <v>1.0498085114679667</v>
      </c>
      <c r="O11" s="6">
        <f>'Коэф.масшт.'!C9</f>
        <v>2173</v>
      </c>
      <c r="P11" s="40">
        <v>1.31</v>
      </c>
      <c r="Q11" s="8">
        <f>'Коэф.масшт.'!D9</f>
        <v>1.3667556373676943</v>
      </c>
      <c r="R11" s="62">
        <f>(P11*Q11)/(P17*Q17)*'Расчет доли '!F10/100</f>
        <v>0.26342030975832653</v>
      </c>
      <c r="S11" s="20">
        <f t="shared" si="0"/>
        <v>2.612664844037444</v>
      </c>
    </row>
    <row r="12" spans="1:19" ht="12.75">
      <c r="A12" s="3">
        <v>6</v>
      </c>
      <c r="B12" s="2" t="s">
        <v>8</v>
      </c>
      <c r="C12" s="6">
        <f>'Коэф.масшт.'!C10</f>
        <v>2387</v>
      </c>
      <c r="D12" s="8">
        <f>'Коэф.масшт.'!D10</f>
        <v>1.2980142438206952</v>
      </c>
      <c r="E12" s="56">
        <f>((C12*D12/C12)/(C17*D17/C17))*'Расчет доли '!F7/100</f>
        <v>0.56649303264025</v>
      </c>
      <c r="F12" s="6">
        <f>'Коэф.масшт.'!C10</f>
        <v>2387</v>
      </c>
      <c r="G12" s="40">
        <v>1.03</v>
      </c>
      <c r="H12" s="8">
        <f>'Коэф.масшт.'!D10</f>
        <v>1.2980142438206952</v>
      </c>
      <c r="I12" s="57">
        <f>((F12*G12*H12/F12)/(F17*G17*H17/F17))*'Расчет доли '!F9/100</f>
        <v>0.5248970083834142</v>
      </c>
      <c r="J12" s="6">
        <f>'Коэф.масшт.'!C10</f>
        <v>2387</v>
      </c>
      <c r="K12" s="51">
        <f>'Коэф. плот.авт.дорог'!D9</f>
        <v>0</v>
      </c>
      <c r="L12" s="40">
        <v>1.03</v>
      </c>
      <c r="M12" s="8">
        <f>'Коэф.масшт.'!D10</f>
        <v>1.2980142438206952</v>
      </c>
      <c r="N12" s="62">
        <f>(L12*M12)/(L17*M17)*'Расчет доли '!F8/100</f>
        <v>0.7839071090462775</v>
      </c>
      <c r="O12" s="6">
        <f>'Коэф.масшт.'!C10</f>
        <v>2387</v>
      </c>
      <c r="P12" s="40">
        <v>1.03</v>
      </c>
      <c r="Q12" s="8">
        <f>'Коэф.масшт.'!D10</f>
        <v>1.2980142438206952</v>
      </c>
      <c r="R12" s="62">
        <f>(P12*Q12)/(P17*Q17)*'Расчет доли '!F10/100</f>
        <v>0.19669973259978243</v>
      </c>
      <c r="S12" s="20">
        <f t="shared" si="0"/>
        <v>2.071996882669724</v>
      </c>
    </row>
    <row r="13" spans="1:19" ht="25.5">
      <c r="A13" s="3">
        <v>7</v>
      </c>
      <c r="B13" s="2" t="s">
        <v>9</v>
      </c>
      <c r="C13" s="6">
        <f>'Коэф.масшт.'!C11</f>
        <v>3213</v>
      </c>
      <c r="D13" s="8">
        <f>'Коэф.масшт.'!D11</f>
        <v>1.118568316215375</v>
      </c>
      <c r="E13" s="56">
        <f>((C13*D13/C13)/(C17*D17/C17))*'Расчет доли '!F7/100</f>
        <v>0.4881773529718511</v>
      </c>
      <c r="F13" s="6">
        <f>'Коэф.масшт.'!C11</f>
        <v>3213</v>
      </c>
      <c r="G13" s="40">
        <v>1.38</v>
      </c>
      <c r="H13" s="8">
        <f>'Коэф.масшт.'!D11</f>
        <v>1.118568316215375</v>
      </c>
      <c r="I13" s="57">
        <f>((F13*G13*H13/F13)/(F17*G17*H17/F17))*'Расчет доли '!F9/100</f>
        <v>0.6060368255046155</v>
      </c>
      <c r="J13" s="6">
        <f>'Коэф.масшт.'!C11</f>
        <v>3213</v>
      </c>
      <c r="K13" s="51">
        <f>'Коэф. плот.авт.дорог'!D10</f>
        <v>0</v>
      </c>
      <c r="L13" s="40">
        <v>1.38</v>
      </c>
      <c r="M13" s="8">
        <f>'Коэф.масшт.'!D11</f>
        <v>1.118568316215375</v>
      </c>
      <c r="N13" s="62">
        <f>(L13*M13)/(L17*M17)*'Расчет доли '!F8/100</f>
        <v>0.9050853182037644</v>
      </c>
      <c r="O13" s="6">
        <f>'Коэф.масшт.'!C11</f>
        <v>3213</v>
      </c>
      <c r="P13" s="40">
        <v>1.38</v>
      </c>
      <c r="Q13" s="8">
        <f>'Коэф.масшт.'!D11</f>
        <v>1.118568316215375</v>
      </c>
      <c r="R13" s="62">
        <f>(P13*Q13)/(P17*Q17)*'Расчет доли '!F10/100</f>
        <v>0.2271060410298684</v>
      </c>
      <c r="S13" s="20">
        <f t="shared" si="0"/>
        <v>2.2264055377100993</v>
      </c>
    </row>
    <row r="14" spans="1:19" ht="25.5">
      <c r="A14" s="3">
        <v>8</v>
      </c>
      <c r="B14" s="2" t="s">
        <v>10</v>
      </c>
      <c r="C14" s="6">
        <f>'Коэф.масшт.'!C12</f>
        <v>2463</v>
      </c>
      <c r="D14" s="8">
        <f>'Коэф.масшт.'!D12</f>
        <v>1.2764758424685343</v>
      </c>
      <c r="E14" s="56">
        <f>((C14*D14/C14)/(C17*D17/C17))*'Расчет доли '!F7/100</f>
        <v>0.5570930169175459</v>
      </c>
      <c r="F14" s="6">
        <f>'Коэф.масшт.'!C12</f>
        <v>2463</v>
      </c>
      <c r="G14" s="40">
        <v>1.03</v>
      </c>
      <c r="H14" s="8">
        <f>'Коэф.масшт.'!D12</f>
        <v>1.2764758424685343</v>
      </c>
      <c r="I14" s="57">
        <f>((F14*G14*H14/F14)/(F17*G17*H17/F17))*'Расчет доли '!F9/100</f>
        <v>0.5161872099440434</v>
      </c>
      <c r="J14" s="6">
        <f>'Коэф.масшт.'!C12</f>
        <v>2463</v>
      </c>
      <c r="K14" s="51">
        <f>'Коэф. плот.авт.дорог'!D11</f>
        <v>0</v>
      </c>
      <c r="L14" s="40">
        <v>1.03</v>
      </c>
      <c r="M14" s="8">
        <f>'Коэф.масшт.'!D12</f>
        <v>1.2764758424685343</v>
      </c>
      <c r="N14" s="62">
        <f>(L14*M14)/(L17*M17)*'Расчет доли '!F8/100</f>
        <v>0.7708994660116736</v>
      </c>
      <c r="O14" s="6">
        <f>'Коэф.масшт.'!C12</f>
        <v>2463</v>
      </c>
      <c r="P14" s="40">
        <v>1.03</v>
      </c>
      <c r="Q14" s="8">
        <f>'Коэф.масшт.'!D12</f>
        <v>1.2764758424685343</v>
      </c>
      <c r="R14" s="62">
        <f>(P14*Q14)/(P17*Q17)*'Расчет доли '!F10/100</f>
        <v>0.1934358255920084</v>
      </c>
      <c r="S14" s="20">
        <f t="shared" si="0"/>
        <v>2.0376155184652713</v>
      </c>
    </row>
    <row r="15" spans="1:19" ht="25.5">
      <c r="A15" s="3">
        <v>9</v>
      </c>
      <c r="B15" s="2" t="s">
        <v>11</v>
      </c>
      <c r="C15" s="6">
        <f>'Коэф.масшт.'!C13</f>
        <v>2693</v>
      </c>
      <c r="D15" s="8">
        <f>'Коэф.масшт.'!D13</f>
        <v>1.2187003341997773</v>
      </c>
      <c r="E15" s="56">
        <f>((C15*D15/C15)/(C17*D17/C17))*'Расчет доли '!F7/100</f>
        <v>0.5318780217452577</v>
      </c>
      <c r="F15" s="6">
        <f>'Коэф.масшт.'!C13</f>
        <v>2693</v>
      </c>
      <c r="G15" s="40">
        <v>1</v>
      </c>
      <c r="H15" s="8">
        <f>'Коэф.масшт.'!D13</f>
        <v>1.2187003341997773</v>
      </c>
      <c r="I15" s="57">
        <f>((F15*G15*H15/F15)/(F17*G17*H17/F17))*'Расчет доли '!F9/100</f>
        <v>0.4784695946303969</v>
      </c>
      <c r="J15" s="6">
        <f>'Коэф.масшт.'!C13</f>
        <v>2693</v>
      </c>
      <c r="K15" s="51">
        <f>'Коэф. плот.авт.дорог'!D12</f>
        <v>0</v>
      </c>
      <c r="L15" s="40">
        <v>1</v>
      </c>
      <c r="M15" s="8">
        <f>'Коэф.масшт.'!D13</f>
        <v>1.2187003341997773</v>
      </c>
      <c r="N15" s="62">
        <f>(L15*M15)/(L17*M17)*'Расчет доли '!F8/100</f>
        <v>0.7145701169995664</v>
      </c>
      <c r="O15" s="6">
        <f>'Коэф.масшт.'!C13</f>
        <v>2693</v>
      </c>
      <c r="P15" s="40">
        <v>1</v>
      </c>
      <c r="Q15" s="8">
        <f>'Коэф.масшт.'!D13</f>
        <v>1.2187003341997773</v>
      </c>
      <c r="R15" s="62">
        <f>(P15*Q15)/(P17*Q17)*'Расчет доли '!F10/100</f>
        <v>0.17930153881193125</v>
      </c>
      <c r="S15" s="20">
        <f t="shared" si="0"/>
        <v>1.9042192721871523</v>
      </c>
    </row>
    <row r="16" spans="1:19" ht="25.5">
      <c r="A16" s="4">
        <v>10</v>
      </c>
      <c r="B16" s="2" t="s">
        <v>12</v>
      </c>
      <c r="C16" s="6">
        <f>'Коэф.масшт.'!C14</f>
        <v>5386</v>
      </c>
      <c r="D16" s="8">
        <f>'Коэф.масшт.'!D14</f>
        <v>0.9093501670998887</v>
      </c>
      <c r="E16" s="56">
        <f>((C16*D16/C16)/(C17*D17/C17))*'Расчет доли '!F7/100</f>
        <v>0.3968681671597237</v>
      </c>
      <c r="F16" s="6">
        <f>'Коэф.масшт.'!C14</f>
        <v>5386</v>
      </c>
      <c r="G16" s="40">
        <v>1.04</v>
      </c>
      <c r="H16" s="8">
        <f>'Коэф.масшт.'!D14</f>
        <v>0.9093501670998887</v>
      </c>
      <c r="I16" s="57">
        <f>((F16*G16*H16/F16)/(F17*G17*H17/F17))*'Расчет доли '!F9/100</f>
        <v>0.37129739720606764</v>
      </c>
      <c r="J16" s="6">
        <f>'Коэф.масшт.'!C14</f>
        <v>5386</v>
      </c>
      <c r="K16" s="51">
        <f>'Коэф. плот.авт.дорог'!D13</f>
        <v>0</v>
      </c>
      <c r="L16" s="40">
        <v>1.04</v>
      </c>
      <c r="M16" s="8">
        <f>'Коэф.масшт.'!D14</f>
        <v>0.9093501670998887</v>
      </c>
      <c r="N16" s="62">
        <f>(L16*M16)/(L17*M17)*'Расчет доли '!F8/100</f>
        <v>0.5545138657517502</v>
      </c>
      <c r="O16" s="6">
        <f>'Коэф.масшт.'!C14</f>
        <v>5386</v>
      </c>
      <c r="P16" s="40">
        <v>1.04</v>
      </c>
      <c r="Q16" s="8">
        <f>'Коэф.масшт.'!D14</f>
        <v>0.9093501670998887</v>
      </c>
      <c r="R16" s="62">
        <f>(P16*Q16)/(P17*Q17)*'Расчет доли '!F10/100</f>
        <v>0.1391398647333888</v>
      </c>
      <c r="S16" s="20">
        <f t="shared" si="0"/>
        <v>1.4618192948509303</v>
      </c>
    </row>
    <row r="17" spans="1:19" ht="19.5" customHeight="1">
      <c r="A17" s="3"/>
      <c r="B17" s="11" t="s">
        <v>70</v>
      </c>
      <c r="C17" s="17">
        <f>SUM(C7:C16)</f>
        <v>41654</v>
      </c>
      <c r="D17" s="15">
        <f>'Коэф.масшт.'!D15</f>
        <v>0.6399999999999999</v>
      </c>
      <c r="E17" s="56"/>
      <c r="F17" s="48">
        <f>SUM(F7:F16)</f>
        <v>41654</v>
      </c>
      <c r="G17" s="56">
        <v>1</v>
      </c>
      <c r="H17" s="15">
        <f>'Коэф.масшт.'!D15</f>
        <v>0.6399999999999999</v>
      </c>
      <c r="I17" s="57"/>
      <c r="J17" s="48">
        <f>SUM(J7:J16)</f>
        <v>41654</v>
      </c>
      <c r="K17" s="57">
        <v>1</v>
      </c>
      <c r="L17" s="56">
        <v>1</v>
      </c>
      <c r="M17" s="15">
        <f>'Коэф.масшт.'!D15</f>
        <v>0.6399999999999999</v>
      </c>
      <c r="N17" s="62"/>
      <c r="O17" s="48">
        <f>SUM(O7:O16)</f>
        <v>41654</v>
      </c>
      <c r="P17" s="56">
        <f>G17</f>
        <v>1</v>
      </c>
      <c r="Q17" s="15">
        <f>'Коэф.масшт.'!D15</f>
        <v>0.6399999999999999</v>
      </c>
      <c r="R17" s="62"/>
      <c r="S17" s="9"/>
    </row>
    <row r="18" spans="2:18" ht="12.75">
      <c r="B18" s="1"/>
      <c r="C18" s="1"/>
      <c r="D18" s="1"/>
      <c r="E18" s="67"/>
      <c r="F18" s="58"/>
      <c r="G18" s="58"/>
      <c r="H18" s="58"/>
      <c r="I18" s="65"/>
      <c r="J18" s="59"/>
      <c r="K18" s="45"/>
      <c r="L18" s="59"/>
      <c r="M18" s="59"/>
      <c r="N18" s="63"/>
      <c r="O18" s="46"/>
      <c r="P18" s="46"/>
      <c r="Q18" s="46"/>
      <c r="R18" s="63"/>
    </row>
    <row r="19" spans="2:4" ht="12.75">
      <c r="B19" s="143"/>
      <c r="C19" s="143"/>
      <c r="D19" s="143"/>
    </row>
  </sheetData>
  <sheetProtection/>
  <mergeCells count="9">
    <mergeCell ref="B19:D19"/>
    <mergeCell ref="S4:S5"/>
    <mergeCell ref="A2:O2"/>
    <mergeCell ref="A4:A5"/>
    <mergeCell ref="B4:B5"/>
    <mergeCell ref="C4:E4"/>
    <mergeCell ref="F4:I4"/>
    <mergeCell ref="J4:N4"/>
    <mergeCell ref="O4:R4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9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M18"/>
  <sheetViews>
    <sheetView zoomScalePageLayoutView="0" workbookViewId="0" topLeftCell="A4">
      <selection activeCell="D18" sqref="D18"/>
    </sheetView>
  </sheetViews>
  <sheetFormatPr defaultColWidth="9.00390625" defaultRowHeight="12.75"/>
  <cols>
    <col min="1" max="1" width="33.875" style="46" customWidth="1"/>
    <col min="2" max="2" width="9.875" style="46" customWidth="1"/>
    <col min="3" max="3" width="10.75390625" style="107" customWidth="1"/>
    <col min="4" max="4" width="12.25390625" style="63" customWidth="1"/>
    <col min="5" max="5" width="9.375" style="46" customWidth="1"/>
    <col min="6" max="6" width="9.00390625" style="107" customWidth="1"/>
    <col min="7" max="7" width="10.625" style="63" customWidth="1"/>
    <col min="8" max="12" width="9.125" style="46" customWidth="1"/>
  </cols>
  <sheetData>
    <row r="1" ht="2.25" customHeight="1"/>
    <row r="2" spans="1:12" ht="60" customHeight="1">
      <c r="A2" s="154" t="s">
        <v>141</v>
      </c>
      <c r="B2" s="154"/>
      <c r="C2" s="154"/>
      <c r="D2" s="154"/>
      <c r="E2" s="154"/>
      <c r="F2" s="154"/>
      <c r="G2" s="154"/>
      <c r="H2" s="154"/>
      <c r="I2" s="154"/>
      <c r="J2" s="154"/>
      <c r="K2" s="116"/>
      <c r="L2" s="116"/>
    </row>
    <row r="3" spans="2:13" ht="32.25" customHeight="1">
      <c r="B3" s="155" t="s">
        <v>113</v>
      </c>
      <c r="C3" s="155"/>
      <c r="D3" s="155"/>
      <c r="E3" s="157" t="s">
        <v>115</v>
      </c>
      <c r="F3" s="158"/>
      <c r="G3" s="159"/>
      <c r="H3" s="155" t="s">
        <v>106</v>
      </c>
      <c r="I3" s="155"/>
      <c r="J3" s="155"/>
      <c r="K3" s="117"/>
      <c r="L3" s="117"/>
      <c r="M3" s="89"/>
    </row>
    <row r="4" spans="1:12" ht="121.5" customHeight="1">
      <c r="A4" s="100" t="s">
        <v>1</v>
      </c>
      <c r="B4" s="101" t="s">
        <v>85</v>
      </c>
      <c r="C4" s="102" t="s">
        <v>86</v>
      </c>
      <c r="D4" s="103" t="s">
        <v>87</v>
      </c>
      <c r="E4" s="101" t="s">
        <v>85</v>
      </c>
      <c r="F4" s="102" t="s">
        <v>86</v>
      </c>
      <c r="G4" s="103" t="s">
        <v>116</v>
      </c>
      <c r="H4" s="36" t="s">
        <v>85</v>
      </c>
      <c r="I4" s="104" t="s">
        <v>86</v>
      </c>
      <c r="J4" s="105" t="s">
        <v>87</v>
      </c>
      <c r="K4" s="122"/>
      <c r="L4" s="121"/>
    </row>
    <row r="5" spans="1:12" ht="12.75">
      <c r="A5" s="54">
        <v>1</v>
      </c>
      <c r="B5" s="54">
        <v>2</v>
      </c>
      <c r="C5" s="95">
        <v>3</v>
      </c>
      <c r="D5" s="106">
        <v>4</v>
      </c>
      <c r="E5" s="54"/>
      <c r="F5" s="95"/>
      <c r="G5" s="106"/>
      <c r="H5" s="4"/>
      <c r="I5" s="4"/>
      <c r="J5" s="4"/>
      <c r="K5" s="118"/>
      <c r="L5" s="118"/>
    </row>
    <row r="6" spans="1:13" ht="16.5" customHeight="1">
      <c r="A6" s="94" t="s">
        <v>3</v>
      </c>
      <c r="B6" s="91">
        <f>ИДП!D4</f>
        <v>1.0168555662061918</v>
      </c>
      <c r="C6" s="91">
        <f>ИБР!S7</f>
        <v>1.1625724939635322</v>
      </c>
      <c r="D6" s="62">
        <f>B6/C6</f>
        <v>0.8746599214122545</v>
      </c>
      <c r="E6" s="114">
        <f>ИДП!G4</f>
        <v>0.9962145413088962</v>
      </c>
      <c r="F6" s="91">
        <f>ИБР!S7</f>
        <v>1.1625724939635322</v>
      </c>
      <c r="G6" s="62">
        <f>E6/F6</f>
        <v>0.8569053082552507</v>
      </c>
      <c r="H6" s="91">
        <f>ИДП!J4</f>
        <v>0.9837233480061858</v>
      </c>
      <c r="I6" s="91">
        <f>ИБР!S7</f>
        <v>1.1625724939635322</v>
      </c>
      <c r="J6" s="62">
        <f>H6/I6</f>
        <v>0.8461608657645081</v>
      </c>
      <c r="K6" s="119"/>
      <c r="L6" s="119"/>
      <c r="M6" s="34"/>
    </row>
    <row r="7" spans="1:13" ht="17.25" customHeight="1">
      <c r="A7" s="94" t="s">
        <v>4</v>
      </c>
      <c r="B7" s="91">
        <f>ИДП!D5</f>
        <v>0.3825289039250316</v>
      </c>
      <c r="C7" s="91">
        <f>ИБР!S8</f>
        <v>1.2718232310260689</v>
      </c>
      <c r="D7" s="62">
        <f>B7/C7</f>
        <v>0.30077206847088234</v>
      </c>
      <c r="E7" s="114">
        <f>ИДП!G5</f>
        <v>0.39573713308547454</v>
      </c>
      <c r="F7" s="91">
        <f>ИБР!S8</f>
        <v>1.2718232310260689</v>
      </c>
      <c r="G7" s="62">
        <f aca="true" t="shared" si="0" ref="G7:G15">E7/F7</f>
        <v>0.3111573396612717</v>
      </c>
      <c r="H7" s="91">
        <f>ИДП!J5</f>
        <v>0.3917788854774192</v>
      </c>
      <c r="I7" s="91">
        <f>ИБР!S8</f>
        <v>1.2718232310260689</v>
      </c>
      <c r="J7" s="62">
        <f aca="true" t="shared" si="1" ref="J7:J15">H7/I7</f>
        <v>0.3080450772717398</v>
      </c>
      <c r="K7" s="119"/>
      <c r="L7" s="119"/>
      <c r="M7" s="34"/>
    </row>
    <row r="8" spans="1:13" ht="15.75" customHeight="1">
      <c r="A8" s="94" t="s">
        <v>5</v>
      </c>
      <c r="B8" s="91">
        <f>ИДП!D6</f>
        <v>0.5418114796712892</v>
      </c>
      <c r="C8" s="91">
        <f>ИБР!S9</f>
        <v>4.318206254576966</v>
      </c>
      <c r="D8" s="62">
        <f aca="true" t="shared" si="2" ref="D8:D14">B8/C8</f>
        <v>0.12547142209731432</v>
      </c>
      <c r="E8" s="114">
        <f>ИДП!G6</f>
        <v>0.6303249261537556</v>
      </c>
      <c r="F8" s="91">
        <f>ИБР!S9</f>
        <v>4.318206254576966</v>
      </c>
      <c r="G8" s="62">
        <f t="shared" si="0"/>
        <v>0.14596915686592316</v>
      </c>
      <c r="H8" s="91">
        <f>ИДП!J6</f>
        <v>0.7723356378597052</v>
      </c>
      <c r="I8" s="91">
        <f>ИБР!S9</f>
        <v>4.318206254576966</v>
      </c>
      <c r="J8" s="62">
        <f t="shared" si="1"/>
        <v>0.17885566189458618</v>
      </c>
      <c r="K8" s="119"/>
      <c r="L8" s="119"/>
      <c r="M8" s="34"/>
    </row>
    <row r="9" spans="1:13" ht="17.25" customHeight="1">
      <c r="A9" s="94" t="s">
        <v>6</v>
      </c>
      <c r="B9" s="91">
        <f>ИДП!D7</f>
        <v>1.8838550573813113</v>
      </c>
      <c r="C9" s="91">
        <f>ИБР!S10</f>
        <v>4.002057758525366</v>
      </c>
      <c r="D9" s="62">
        <f t="shared" si="2"/>
        <v>0.4707216064956178</v>
      </c>
      <c r="E9" s="114">
        <f>ИДП!G7</f>
        <v>1.8861822291557628</v>
      </c>
      <c r="F9" s="91">
        <f>ИБР!S10</f>
        <v>4.002057758525366</v>
      </c>
      <c r="G9" s="62">
        <f t="shared" si="0"/>
        <v>0.4713031002957745</v>
      </c>
      <c r="H9" s="91">
        <f>ИДП!J7</f>
        <v>1.8625320354961057</v>
      </c>
      <c r="I9" s="91">
        <f>ИБР!S10</f>
        <v>4.002057758525366</v>
      </c>
      <c r="J9" s="62">
        <f t="shared" si="1"/>
        <v>0.46539359196614666</v>
      </c>
      <c r="K9" s="119"/>
      <c r="L9" s="119"/>
      <c r="M9" s="34"/>
    </row>
    <row r="10" spans="1:13" ht="18" customHeight="1">
      <c r="A10" s="94" t="s">
        <v>7</v>
      </c>
      <c r="B10" s="91">
        <f>ИДП!D8</f>
        <v>0.6924243289861568</v>
      </c>
      <c r="C10" s="91">
        <f>ИБР!S11</f>
        <v>2.612664844037444</v>
      </c>
      <c r="D10" s="62">
        <f t="shared" si="2"/>
        <v>0.26502608268580247</v>
      </c>
      <c r="E10" s="114">
        <f>ИДП!G8</f>
        <v>0.7249450265615602</v>
      </c>
      <c r="F10" s="91">
        <f>ИБР!S11</f>
        <v>2.612664844037444</v>
      </c>
      <c r="G10" s="62">
        <f t="shared" si="0"/>
        <v>0.2774734111862878</v>
      </c>
      <c r="H10" s="91">
        <f>ИДП!J8</f>
        <v>0.7359922481874681</v>
      </c>
      <c r="I10" s="91">
        <f>ИБР!S11</f>
        <v>2.612664844037444</v>
      </c>
      <c r="J10" s="62">
        <f t="shared" si="1"/>
        <v>0.2817017459652854</v>
      </c>
      <c r="K10" s="119"/>
      <c r="L10" s="119"/>
      <c r="M10" s="34"/>
    </row>
    <row r="11" spans="1:13" ht="19.5" customHeight="1">
      <c r="A11" s="94" t="s">
        <v>8</v>
      </c>
      <c r="B11" s="91">
        <f>ИДП!D9</f>
        <v>0.7881053948714679</v>
      </c>
      <c r="C11" s="91">
        <f>ИБР!S12</f>
        <v>2.071996882669724</v>
      </c>
      <c r="D11" s="62">
        <f t="shared" si="2"/>
        <v>0.38036031881284055</v>
      </c>
      <c r="E11" s="114">
        <f>ИДП!G9</f>
        <v>0.8001107755830943</v>
      </c>
      <c r="F11" s="91">
        <f>ИБР!S12</f>
        <v>2.071996882669724</v>
      </c>
      <c r="G11" s="62">
        <f t="shared" si="0"/>
        <v>0.38615443019015</v>
      </c>
      <c r="H11" s="91">
        <f>ИДП!J9</f>
        <v>0.7900784603066492</v>
      </c>
      <c r="I11" s="91">
        <f>ИБР!S12</f>
        <v>2.071996882669724</v>
      </c>
      <c r="J11" s="62">
        <f t="shared" si="1"/>
        <v>0.3813125719034142</v>
      </c>
      <c r="K11" s="119"/>
      <c r="L11" s="119"/>
      <c r="M11" s="34"/>
    </row>
    <row r="12" spans="1:13" ht="18" customHeight="1">
      <c r="A12" s="94" t="s">
        <v>9</v>
      </c>
      <c r="B12" s="91">
        <f>ИДП!D10</f>
        <v>0.5045967907302666</v>
      </c>
      <c r="C12" s="91">
        <f>ИБР!S13</f>
        <v>2.2264055377100993</v>
      </c>
      <c r="D12" s="62">
        <f t="shared" si="2"/>
        <v>0.22664190426388092</v>
      </c>
      <c r="E12" s="114">
        <f>ИДП!G10</f>
        <v>0.537239399500389</v>
      </c>
      <c r="F12" s="91">
        <f>ИБР!S13</f>
        <v>2.2264055377100993</v>
      </c>
      <c r="G12" s="62">
        <f t="shared" si="0"/>
        <v>0.24130347791577542</v>
      </c>
      <c r="H12" s="91">
        <f>ИДП!J10</f>
        <v>0.5642027213412408</v>
      </c>
      <c r="I12" s="91">
        <f>ИБР!S13</f>
        <v>2.2264055377100993</v>
      </c>
      <c r="J12" s="62">
        <f t="shared" si="1"/>
        <v>0.2534141744551777</v>
      </c>
      <c r="K12" s="119"/>
      <c r="L12" s="119"/>
      <c r="M12" s="34"/>
    </row>
    <row r="13" spans="1:13" ht="28.5" customHeight="1">
      <c r="A13" s="94" t="s">
        <v>10</v>
      </c>
      <c r="B13" s="91">
        <f>ИДП!D11</f>
        <v>0.38164595874844026</v>
      </c>
      <c r="C13" s="91">
        <f>ИБР!S14</f>
        <v>2.0376155184652713</v>
      </c>
      <c r="D13" s="62">
        <f t="shared" si="2"/>
        <v>0.18730028078893676</v>
      </c>
      <c r="E13" s="114">
        <f>ИДП!G11</f>
        <v>0.4161449297133061</v>
      </c>
      <c r="F13" s="91">
        <f>ИБР!S14</f>
        <v>2.0376155184652713</v>
      </c>
      <c r="G13" s="62">
        <f t="shared" si="0"/>
        <v>0.20423133115257472</v>
      </c>
      <c r="H13" s="91">
        <f>ИДП!J11</f>
        <v>0.45728372256444955</v>
      </c>
      <c r="I13" s="91">
        <f>ИБР!S14</f>
        <v>2.0376155184652713</v>
      </c>
      <c r="J13" s="62">
        <f t="shared" si="1"/>
        <v>0.22442100505245213</v>
      </c>
      <c r="K13" s="119"/>
      <c r="L13" s="119"/>
      <c r="M13" s="34"/>
    </row>
    <row r="14" spans="1:13" ht="20.25" customHeight="1">
      <c r="A14" s="94" t="s">
        <v>11</v>
      </c>
      <c r="B14" s="91">
        <f>ИДП!D12</f>
        <v>0.9140170144533006</v>
      </c>
      <c r="C14" s="91">
        <f>ИБР!S15</f>
        <v>1.9042192721871523</v>
      </c>
      <c r="D14" s="62">
        <f t="shared" si="2"/>
        <v>0.47999567476463834</v>
      </c>
      <c r="E14" s="114">
        <f>ИДП!G12</f>
        <v>0.9141055723960564</v>
      </c>
      <c r="F14" s="91">
        <f>ИБР!S15</f>
        <v>1.9042192721871523</v>
      </c>
      <c r="G14" s="62">
        <f t="shared" si="0"/>
        <v>0.4800421809333602</v>
      </c>
      <c r="H14" s="91">
        <f>ИДП!J12</f>
        <v>0.902643915362942</v>
      </c>
      <c r="I14" s="91">
        <f>ИБР!S15</f>
        <v>1.9042192721871523</v>
      </c>
      <c r="J14" s="62">
        <f t="shared" si="1"/>
        <v>0.4740230962614832</v>
      </c>
      <c r="K14" s="119"/>
      <c r="L14" s="119"/>
      <c r="M14" s="34"/>
    </row>
    <row r="15" spans="1:13" ht="18.75" customHeight="1">
      <c r="A15" s="94" t="s">
        <v>12</v>
      </c>
      <c r="B15" s="91">
        <f>ИДП!D13</f>
        <v>2.6019597913826296</v>
      </c>
      <c r="C15" s="91">
        <f>ИБР!S16</f>
        <v>1.4618192948509303</v>
      </c>
      <c r="D15" s="62">
        <f>B15/C15</f>
        <v>1.7799462632267182</v>
      </c>
      <c r="E15" s="114">
        <f>ИДП!G13</f>
        <v>2.5491429326068373</v>
      </c>
      <c r="F15" s="91">
        <f>ИБР!S16</f>
        <v>1.4618192948509303</v>
      </c>
      <c r="G15" s="62">
        <f t="shared" si="0"/>
        <v>1.7438153550071915</v>
      </c>
      <c r="H15" s="91">
        <f>ИДП!J13</f>
        <v>2.5171801015026114</v>
      </c>
      <c r="I15" s="91">
        <f>ИБР!S16</f>
        <v>1.4618192948509303</v>
      </c>
      <c r="J15" s="62">
        <f t="shared" si="1"/>
        <v>1.7219502508750932</v>
      </c>
      <c r="K15" s="119"/>
      <c r="L15" s="119"/>
      <c r="M15" s="34"/>
    </row>
    <row r="16" spans="1:12" ht="18.75" customHeight="1">
      <c r="A16" s="47" t="s">
        <v>70</v>
      </c>
      <c r="B16" s="48"/>
      <c r="C16" s="91"/>
      <c r="D16" s="62"/>
      <c r="E16" s="114">
        <f>ИДП!G14</f>
        <v>0</v>
      </c>
      <c r="F16" s="91"/>
      <c r="G16" s="62"/>
      <c r="H16" s="91"/>
      <c r="I16" s="91"/>
      <c r="J16" s="91"/>
      <c r="K16" s="120"/>
      <c r="L16" s="120"/>
    </row>
    <row r="17" spans="1:12" ht="24" customHeight="1">
      <c r="A17" s="86" t="s">
        <v>95</v>
      </c>
      <c r="D17" s="63">
        <f>(D6+D15+D8+D13)/4</f>
        <v>0.741844471881306</v>
      </c>
      <c r="H17" s="107"/>
      <c r="I17" s="107"/>
      <c r="J17" s="63"/>
      <c r="K17" s="63"/>
      <c r="L17" s="63"/>
    </row>
    <row r="18" spans="1:5" ht="18.75" customHeight="1">
      <c r="A18" s="156"/>
      <c r="B18" s="156"/>
      <c r="C18" s="156"/>
      <c r="D18" s="107"/>
      <c r="E18" s="108"/>
    </row>
  </sheetData>
  <sheetProtection/>
  <mergeCells count="5">
    <mergeCell ref="A2:J2"/>
    <mergeCell ref="H3:J3"/>
    <mergeCell ref="A18:C18"/>
    <mergeCell ref="B3:D3"/>
    <mergeCell ref="E3:G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2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00390625" defaultRowHeight="12.75"/>
  <cols>
    <col min="2" max="2" width="23.125" style="0" customWidth="1"/>
    <col min="3" max="3" width="10.25390625" style="0" customWidth="1"/>
    <col min="4" max="4" width="9.875" style="0" customWidth="1"/>
    <col min="5" max="5" width="12.125" style="0" customWidth="1"/>
    <col min="6" max="6" width="10.375" style="0" customWidth="1"/>
    <col min="7" max="7" width="10.00390625" style="0" customWidth="1"/>
    <col min="9" max="9" width="10.375" style="0" customWidth="1"/>
    <col min="10" max="10" width="10.625" style="0" customWidth="1"/>
    <col min="13" max="13" width="10.00390625" style="0" customWidth="1"/>
    <col min="14" max="14" width="10.875" style="0" customWidth="1"/>
  </cols>
  <sheetData>
    <row r="2" spans="1:14" ht="12.75" customHeight="1">
      <c r="A2" s="160" t="s">
        <v>142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33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5" spans="1:14" ht="25.5" customHeight="1">
      <c r="A5" s="161" t="s">
        <v>0</v>
      </c>
      <c r="B5" s="161" t="s">
        <v>1</v>
      </c>
      <c r="C5" s="139" t="s">
        <v>108</v>
      </c>
      <c r="D5" s="139"/>
      <c r="E5" s="139"/>
      <c r="F5" s="139" t="s">
        <v>99</v>
      </c>
      <c r="G5" s="139"/>
      <c r="H5" s="139"/>
      <c r="I5" s="139"/>
      <c r="J5" s="139" t="s">
        <v>104</v>
      </c>
      <c r="K5" s="139"/>
      <c r="L5" s="139"/>
      <c r="M5" s="139"/>
      <c r="N5" s="139"/>
    </row>
    <row r="6" spans="1:15" ht="51">
      <c r="A6" s="161"/>
      <c r="B6" s="161"/>
      <c r="C6" s="30" t="s">
        <v>84</v>
      </c>
      <c r="D6" s="2" t="s">
        <v>100</v>
      </c>
      <c r="E6" s="11" t="s">
        <v>101</v>
      </c>
      <c r="F6" s="30" t="s">
        <v>84</v>
      </c>
      <c r="G6" s="84" t="s">
        <v>100</v>
      </c>
      <c r="H6" s="2" t="s">
        <v>98</v>
      </c>
      <c r="I6" s="11" t="s">
        <v>101</v>
      </c>
      <c r="J6" s="30" t="s">
        <v>84</v>
      </c>
      <c r="K6" s="84" t="s">
        <v>98</v>
      </c>
      <c r="L6" s="84" t="s">
        <v>105</v>
      </c>
      <c r="M6" s="2" t="s">
        <v>100</v>
      </c>
      <c r="N6" s="11" t="s">
        <v>101</v>
      </c>
      <c r="O6" s="1"/>
    </row>
    <row r="7" spans="1:14" s="29" customFormat="1" ht="12.75">
      <c r="A7" s="16">
        <v>1</v>
      </c>
      <c r="B7" s="16">
        <v>2</v>
      </c>
      <c r="C7" s="33">
        <v>3</v>
      </c>
      <c r="D7" s="32"/>
      <c r="E7" s="32"/>
      <c r="F7" s="33">
        <v>3</v>
      </c>
      <c r="G7" s="16"/>
      <c r="H7" s="32"/>
      <c r="I7" s="32"/>
      <c r="J7" s="33">
        <v>3</v>
      </c>
      <c r="K7" s="16"/>
      <c r="L7" s="16"/>
      <c r="M7" s="32"/>
      <c r="N7" s="32"/>
    </row>
    <row r="8" spans="1:14" ht="25.5">
      <c r="A8" s="3">
        <v>1</v>
      </c>
      <c r="B8" s="2" t="s">
        <v>3</v>
      </c>
      <c r="C8" s="74">
        <f>'Налоговый потен'!M7</f>
        <v>31610.520908251707</v>
      </c>
      <c r="D8" s="74">
        <f>'субв от числ уточ'!D6</f>
        <v>4580.762626998608</v>
      </c>
      <c r="E8" s="74">
        <f>C8+D8</f>
        <v>36191.28353525032</v>
      </c>
      <c r="F8" s="74">
        <f>C8</f>
        <v>31610.520908251707</v>
      </c>
      <c r="G8" s="88">
        <f>D8</f>
        <v>4580.762626998608</v>
      </c>
      <c r="H8" s="74">
        <f>'Дотац 4000'!J5</f>
        <v>0</v>
      </c>
      <c r="I8" s="74">
        <f>F8+G8+H8</f>
        <v>36191.28353525032</v>
      </c>
      <c r="J8" s="74">
        <f>'Налоговый потен'!M7</f>
        <v>31610.520908251707</v>
      </c>
      <c r="K8" s="88">
        <f>'Дотац 4000'!J5</f>
        <v>0</v>
      </c>
      <c r="L8" s="88">
        <f>'Дотац 4000'!N5</f>
        <v>0</v>
      </c>
      <c r="M8" s="74">
        <f>'субв от числ уточ'!D6</f>
        <v>4580.762626998608</v>
      </c>
      <c r="N8" s="74">
        <f>J8+K8+M8+L8</f>
        <v>36191.28353525032</v>
      </c>
    </row>
    <row r="9" spans="1:14" ht="25.5">
      <c r="A9" s="3">
        <v>2</v>
      </c>
      <c r="B9" s="2" t="s">
        <v>4</v>
      </c>
      <c r="C9" s="74">
        <f>'Налоговый потен'!M8</f>
        <v>5635.4633437548255</v>
      </c>
      <c r="D9" s="74">
        <f>'субв от числ уточ'!D7</f>
        <v>2857.5181107456665</v>
      </c>
      <c r="E9" s="74">
        <f aca="true" t="shared" si="0" ref="E9:E17">C9+D9</f>
        <v>8492.981454500492</v>
      </c>
      <c r="F9" s="74">
        <f aca="true" t="shared" si="1" ref="F9:F17">C9</f>
        <v>5635.4633437548255</v>
      </c>
      <c r="G9" s="88">
        <f aca="true" t="shared" si="2" ref="G9:G17">D9</f>
        <v>2857.5181107456665</v>
      </c>
      <c r="H9" s="74">
        <f>'Дотац 4000'!J6</f>
        <v>475.2976686575844</v>
      </c>
      <c r="I9" s="74">
        <f aca="true" t="shared" si="3" ref="I9:I17">F9+G9+H9</f>
        <v>8968.279123158076</v>
      </c>
      <c r="J9" s="74">
        <f>'Налоговый потен'!M8</f>
        <v>5635.4633437548255</v>
      </c>
      <c r="K9" s="88">
        <f>'Дотац 4000'!J6</f>
        <v>475.2976686575844</v>
      </c>
      <c r="L9" s="88">
        <f>'Дотац 4000'!N6</f>
        <v>23.03637931190128</v>
      </c>
      <c r="M9" s="74">
        <f>'субв от числ уточ'!D7</f>
        <v>2857.5181107456665</v>
      </c>
      <c r="N9" s="74">
        <f aca="true" t="shared" si="4" ref="N9:N17">J9+K9+M9+L9</f>
        <v>8991.315502469977</v>
      </c>
    </row>
    <row r="10" spans="1:14" ht="25.5">
      <c r="A10" s="3">
        <v>3</v>
      </c>
      <c r="B10" s="2" t="s">
        <v>5</v>
      </c>
      <c r="C10" s="74">
        <f>'Налоговый потен'!M9</f>
        <v>1950.5128495468866</v>
      </c>
      <c r="D10" s="74">
        <f>'субв от числ уточ'!D8</f>
        <v>607.6858856292313</v>
      </c>
      <c r="E10" s="74">
        <f t="shared" si="0"/>
        <v>2558.198735176118</v>
      </c>
      <c r="F10" s="74">
        <f t="shared" si="1"/>
        <v>1950.5128495468866</v>
      </c>
      <c r="G10" s="88">
        <f t="shared" si="2"/>
        <v>607.6858856292313</v>
      </c>
      <c r="H10" s="74">
        <f>'Дотац 4000'!J7</f>
        <v>479.585700728713</v>
      </c>
      <c r="I10" s="74">
        <f t="shared" si="3"/>
        <v>3037.7844359048313</v>
      </c>
      <c r="J10" s="74">
        <f>'Налоговый потен'!M9</f>
        <v>1950.5128495468866</v>
      </c>
      <c r="K10" s="88">
        <f>'Дотац 4000'!J7</f>
        <v>479.585700728713</v>
      </c>
      <c r="L10" s="88">
        <f>'Дотац 4000'!N7</f>
        <v>731.6695260815401</v>
      </c>
      <c r="M10" s="74">
        <f>'субв от числ уточ'!D8</f>
        <v>607.6858856292313</v>
      </c>
      <c r="N10" s="74">
        <f t="shared" si="4"/>
        <v>3769.4539619863713</v>
      </c>
    </row>
    <row r="11" spans="1:14" ht="25.5">
      <c r="A11" s="3">
        <v>4</v>
      </c>
      <c r="B11" s="2" t="s">
        <v>6</v>
      </c>
      <c r="C11" s="74">
        <f>'Налоговый потен'!M10</f>
        <v>7071.0243295476785</v>
      </c>
      <c r="D11" s="74">
        <f>'субв от числ уточ'!D9</f>
        <v>518.514587194507</v>
      </c>
      <c r="E11" s="74">
        <f t="shared" si="0"/>
        <v>7589.538916742185</v>
      </c>
      <c r="F11" s="74">
        <f t="shared" si="1"/>
        <v>7071.0243295476785</v>
      </c>
      <c r="G11" s="88">
        <f t="shared" si="2"/>
        <v>518.514587194507</v>
      </c>
      <c r="H11" s="74">
        <f>'Дотац 4000'!J8</f>
        <v>166.8209267450108</v>
      </c>
      <c r="I11" s="74">
        <f t="shared" si="3"/>
        <v>7756.3598434871965</v>
      </c>
      <c r="J11" s="74">
        <f>'Налоговый потен'!M10</f>
        <v>7071.0243295476785</v>
      </c>
      <c r="K11" s="88">
        <f>'Дотац 4000'!J8</f>
        <v>166.8209267450108</v>
      </c>
      <c r="L11" s="88">
        <f>'Дотац 4000'!N8</f>
        <v>0</v>
      </c>
      <c r="M11" s="74">
        <f>'субв от числ уточ'!D9</f>
        <v>518.514587194507</v>
      </c>
      <c r="N11" s="74">
        <f t="shared" si="4"/>
        <v>7756.3598434871965</v>
      </c>
    </row>
    <row r="12" spans="1:14" ht="25.5">
      <c r="A12" s="3">
        <v>5</v>
      </c>
      <c r="B12" s="2" t="s">
        <v>7</v>
      </c>
      <c r="C12" s="74">
        <f>'Налоговый потен'!M11</f>
        <v>3492.6006738657716</v>
      </c>
      <c r="D12" s="74">
        <f>'субв от числ уточ'!D10</f>
        <v>797.4042448504346</v>
      </c>
      <c r="E12" s="74">
        <f t="shared" si="0"/>
        <v>4290.004918716206</v>
      </c>
      <c r="F12" s="74">
        <f t="shared" si="1"/>
        <v>3492.6006738657716</v>
      </c>
      <c r="G12" s="88">
        <f t="shared" si="2"/>
        <v>797.4042448504346</v>
      </c>
      <c r="H12" s="74">
        <f>'Дотац 4000'!J9</f>
        <v>294.54746799849977</v>
      </c>
      <c r="I12" s="74">
        <f t="shared" si="3"/>
        <v>4584.552386714706</v>
      </c>
      <c r="J12" s="74">
        <f>'Налоговый потен'!M11</f>
        <v>3492.6006738657716</v>
      </c>
      <c r="K12" s="88">
        <f>'Дотац 4000'!J9</f>
        <v>294.54746799849977</v>
      </c>
      <c r="L12" s="88">
        <f>'Дотац 4000'!N9</f>
        <v>128.9637969639221</v>
      </c>
      <c r="M12" s="74">
        <f>'субв от числ уточ'!D10</f>
        <v>797.4042448504346</v>
      </c>
      <c r="N12" s="74">
        <f t="shared" si="4"/>
        <v>4713.516183678628</v>
      </c>
    </row>
    <row r="13" spans="1:14" ht="25.5">
      <c r="A13" s="3">
        <v>6</v>
      </c>
      <c r="B13" s="2" t="s">
        <v>8</v>
      </c>
      <c r="C13" s="74">
        <f>'Налоговый потен'!M12</f>
        <v>4487.741416844332</v>
      </c>
      <c r="D13" s="74">
        <f>'субв от числ уточ'!D11</f>
        <v>875.9337010851299</v>
      </c>
      <c r="E13" s="74">
        <f t="shared" si="0"/>
        <v>5363.6751179294615</v>
      </c>
      <c r="F13" s="74">
        <f t="shared" si="1"/>
        <v>4487.741416844332</v>
      </c>
      <c r="G13" s="88">
        <f t="shared" si="2"/>
        <v>875.9337010851299</v>
      </c>
      <c r="H13" s="74">
        <f>'Дотац 4000'!J10</f>
        <v>194.5313719308727</v>
      </c>
      <c r="I13" s="74">
        <f t="shared" si="3"/>
        <v>5558.206489860334</v>
      </c>
      <c r="J13" s="74">
        <f>'Налоговый потен'!M12</f>
        <v>4487.741416844332</v>
      </c>
      <c r="K13" s="88">
        <f>'Дотац 4000'!J10</f>
        <v>194.5313719308727</v>
      </c>
      <c r="L13" s="88">
        <f>'Дотац 4000'!N10</f>
        <v>0</v>
      </c>
      <c r="M13" s="74">
        <f>'субв от числ уточ'!D11</f>
        <v>875.9337010851299</v>
      </c>
      <c r="N13" s="74">
        <f t="shared" si="4"/>
        <v>5558.206489860334</v>
      </c>
    </row>
    <row r="14" spans="1:14" ht="25.5">
      <c r="A14" s="3">
        <v>7</v>
      </c>
      <c r="B14" s="2" t="s">
        <v>9</v>
      </c>
      <c r="C14" s="74">
        <f>'Налоговый потен'!M13</f>
        <v>3443.500221160311</v>
      </c>
      <c r="D14" s="74">
        <f>'субв от числ уточ'!D12</f>
        <v>1179.0427237480194</v>
      </c>
      <c r="E14" s="74">
        <f t="shared" si="0"/>
        <v>4622.54294490833</v>
      </c>
      <c r="F14" s="74">
        <f t="shared" si="1"/>
        <v>3443.500221160311</v>
      </c>
      <c r="G14" s="88">
        <f t="shared" si="2"/>
        <v>1179.0427237480194</v>
      </c>
      <c r="H14" s="74">
        <f>'Дотац 4000'!J11</f>
        <v>401.0069389217217</v>
      </c>
      <c r="I14" s="74">
        <f t="shared" si="3"/>
        <v>5023.549883830052</v>
      </c>
      <c r="J14" s="74">
        <f>'Налоговый потен'!M13</f>
        <v>3443.500221160311</v>
      </c>
      <c r="K14" s="88">
        <f>'Дотац 4000'!J11</f>
        <v>401.0069389217217</v>
      </c>
      <c r="L14" s="88">
        <f>'Дотац 4000'!N11</f>
        <v>319.11505007724026</v>
      </c>
      <c r="M14" s="74">
        <f>'субв от числ уточ'!D12</f>
        <v>1179.0427237480194</v>
      </c>
      <c r="N14" s="74">
        <f t="shared" si="4"/>
        <v>5342.664933907292</v>
      </c>
    </row>
    <row r="15" spans="1:14" ht="25.5">
      <c r="A15" s="3">
        <v>8</v>
      </c>
      <c r="B15" s="2" t="s">
        <v>10</v>
      </c>
      <c r="C15" s="74">
        <f>'Налоговый потен'!M14</f>
        <v>1776.2762598313268</v>
      </c>
      <c r="D15" s="74">
        <f>'субв от числ уточ'!D13</f>
        <v>903.8226668507227</v>
      </c>
      <c r="E15" s="74">
        <f t="shared" si="0"/>
        <v>2680.0989266820498</v>
      </c>
      <c r="F15" s="74">
        <f t="shared" si="1"/>
        <v>1776.2762598313268</v>
      </c>
      <c r="G15" s="88">
        <f t="shared" si="2"/>
        <v>903.8226668507227</v>
      </c>
      <c r="H15" s="74">
        <f>'Дотац 4000'!J12</f>
        <v>302.8179963392977</v>
      </c>
      <c r="I15" s="74">
        <f t="shared" si="3"/>
        <v>2982.9169230213474</v>
      </c>
      <c r="J15" s="74">
        <f>'Налоговый потен'!M14</f>
        <v>1776.2762598313268</v>
      </c>
      <c r="K15" s="88">
        <f>'Дотац 4000'!J12</f>
        <v>302.8179963392977</v>
      </c>
      <c r="L15" s="88">
        <f>'Дотац 4000'!N12</f>
        <v>336.50295539136795</v>
      </c>
      <c r="M15" s="74">
        <f>'субв от числ уточ'!D13</f>
        <v>903.8226668507227</v>
      </c>
      <c r="N15" s="74">
        <f t="shared" si="4"/>
        <v>3319.4198784127148</v>
      </c>
    </row>
    <row r="16" spans="1:14" ht="25.5">
      <c r="A16" s="3">
        <v>9</v>
      </c>
      <c r="B16" s="2" t="s">
        <v>11</v>
      </c>
      <c r="C16" s="74">
        <f>'Налоговый потен'!M15</f>
        <v>6029.82523254574</v>
      </c>
      <c r="D16" s="74">
        <f>'субв от числ уточ'!D14</f>
        <v>988.2234842992269</v>
      </c>
      <c r="E16" s="74">
        <f t="shared" si="0"/>
        <v>7018.048716844966</v>
      </c>
      <c r="F16" s="74">
        <f t="shared" si="1"/>
        <v>6029.82523254574</v>
      </c>
      <c r="G16" s="88">
        <f t="shared" si="2"/>
        <v>988.2234842992269</v>
      </c>
      <c r="H16" s="74">
        <f>'Дотац 4000'!J13</f>
        <v>146.1042208523288</v>
      </c>
      <c r="I16" s="74">
        <f t="shared" si="3"/>
        <v>7164.152937697295</v>
      </c>
      <c r="J16" s="74">
        <f>'Налоговый потен'!M15</f>
        <v>6029.82523254574</v>
      </c>
      <c r="K16" s="88">
        <f>'Дотац 4000'!J13</f>
        <v>146.1042208523288</v>
      </c>
      <c r="L16" s="88">
        <f>'Дотац 4000'!N13</f>
        <v>0</v>
      </c>
      <c r="M16" s="74">
        <f>'субв от числ уточ'!D14</f>
        <v>988.2234842992269</v>
      </c>
      <c r="N16" s="74">
        <f t="shared" si="4"/>
        <v>7164.152937697295</v>
      </c>
    </row>
    <row r="17" spans="1:14" ht="25.5">
      <c r="A17" s="4">
        <v>10</v>
      </c>
      <c r="B17" s="2" t="s">
        <v>12</v>
      </c>
      <c r="C17" s="74">
        <f>'Налоговый потен'!M16</f>
        <v>37980.53476465142</v>
      </c>
      <c r="D17" s="74">
        <f>'субв от числ уточ'!D15</f>
        <v>1976.4469685984539</v>
      </c>
      <c r="E17" s="74">
        <f t="shared" si="0"/>
        <v>39956.98173324987</v>
      </c>
      <c r="F17" s="74">
        <f t="shared" si="1"/>
        <v>37980.53476465142</v>
      </c>
      <c r="G17" s="88">
        <f t="shared" si="2"/>
        <v>1976.4469685984539</v>
      </c>
      <c r="H17" s="74">
        <f>'Дотац 4000'!J14</f>
        <v>0</v>
      </c>
      <c r="I17" s="74">
        <f t="shared" si="3"/>
        <v>39956.98173324987</v>
      </c>
      <c r="J17" s="74">
        <f>'Налоговый потен'!M16</f>
        <v>37980.53476465142</v>
      </c>
      <c r="K17" s="88">
        <f>'Дотац 4000'!J14</f>
        <v>0</v>
      </c>
      <c r="L17" s="88">
        <f>'Дотац 4000'!N14</f>
        <v>0</v>
      </c>
      <c r="M17" s="74">
        <f>'субв от числ уточ'!D15</f>
        <v>1976.4469685984539</v>
      </c>
      <c r="N17" s="74">
        <f t="shared" si="4"/>
        <v>39956.98173324987</v>
      </c>
    </row>
    <row r="18" spans="1:14" ht="12.75">
      <c r="A18" s="3"/>
      <c r="B18" s="11" t="s">
        <v>15</v>
      </c>
      <c r="C18" s="73">
        <f aca="true" t="shared" si="5" ref="C18:N18">SUM(C8:C17)</f>
        <v>103478</v>
      </c>
      <c r="D18" s="73">
        <f t="shared" si="5"/>
        <v>15285.355000000001</v>
      </c>
      <c r="E18" s="73">
        <f t="shared" si="5"/>
        <v>118763.35499999998</v>
      </c>
      <c r="F18" s="73">
        <f>SUM(F8:F17)</f>
        <v>103478</v>
      </c>
      <c r="G18" s="73">
        <f>SUM(G8:G17)</f>
        <v>15285.355000000001</v>
      </c>
      <c r="H18" s="73">
        <f>SUM(H8:H17)</f>
        <v>2460.7122921740283</v>
      </c>
      <c r="I18" s="73">
        <f>SUM(I8:I17)</f>
        <v>121224.06729217403</v>
      </c>
      <c r="J18" s="73">
        <f t="shared" si="5"/>
        <v>103478</v>
      </c>
      <c r="K18" s="73">
        <f t="shared" si="5"/>
        <v>2460.7122921740283</v>
      </c>
      <c r="L18" s="73">
        <f t="shared" si="5"/>
        <v>1539.287707825972</v>
      </c>
      <c r="M18" s="73">
        <f t="shared" si="5"/>
        <v>15285.355000000001</v>
      </c>
      <c r="N18" s="73">
        <f t="shared" si="5"/>
        <v>122763.35499999998</v>
      </c>
    </row>
    <row r="19" spans="2:10" ht="12.75">
      <c r="B19" s="1"/>
      <c r="C19" s="7"/>
      <c r="F19" s="7"/>
      <c r="J19" s="7"/>
    </row>
    <row r="20" ht="12.75">
      <c r="B20" s="87"/>
    </row>
  </sheetData>
  <sheetProtection/>
  <mergeCells count="6">
    <mergeCell ref="F5:I5"/>
    <mergeCell ref="C5:E5"/>
    <mergeCell ref="J5:N5"/>
    <mergeCell ref="A2:N3"/>
    <mergeCell ref="B5:B6"/>
    <mergeCell ref="A5:A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6.00390625" style="0" customWidth="1"/>
    <col min="2" max="2" width="13.75390625" style="0" customWidth="1"/>
    <col min="3" max="3" width="12.25390625" style="0" customWidth="1"/>
    <col min="4" max="4" width="14.00390625" style="0" customWidth="1"/>
    <col min="6" max="6" width="10.125" style="0" customWidth="1"/>
    <col min="7" max="7" width="13.25390625" style="0" customWidth="1"/>
    <col min="9" max="9" width="10.125" style="0" customWidth="1"/>
    <col min="10" max="10" width="13.25390625" style="0" customWidth="1"/>
  </cols>
  <sheetData>
    <row r="1" spans="1:10" ht="33.75" customHeight="1">
      <c r="A1" s="162" t="s">
        <v>143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ht="39" customHeight="1">
      <c r="A2" s="161" t="s">
        <v>1</v>
      </c>
      <c r="B2" s="139" t="s">
        <v>110</v>
      </c>
      <c r="C2" s="139"/>
      <c r="D2" s="139"/>
      <c r="E2" s="139" t="s">
        <v>131</v>
      </c>
      <c r="F2" s="139"/>
      <c r="G2" s="139"/>
      <c r="H2" s="139" t="s">
        <v>118</v>
      </c>
      <c r="I2" s="139"/>
      <c r="J2" s="139"/>
      <c r="K2" s="89"/>
    </row>
    <row r="3" spans="1:10" ht="76.5" customHeight="1">
      <c r="A3" s="161"/>
      <c r="B3" s="18" t="s">
        <v>78</v>
      </c>
      <c r="C3" s="16" t="s">
        <v>82</v>
      </c>
      <c r="D3" s="85" t="s">
        <v>83</v>
      </c>
      <c r="E3" s="18" t="s">
        <v>78</v>
      </c>
      <c r="F3" s="16" t="s">
        <v>82</v>
      </c>
      <c r="G3" s="85" t="s">
        <v>83</v>
      </c>
      <c r="H3" s="18" t="s">
        <v>78</v>
      </c>
      <c r="I3" s="16" t="s">
        <v>82</v>
      </c>
      <c r="J3" s="85" t="s">
        <v>83</v>
      </c>
    </row>
    <row r="4" spans="1:10" ht="30" customHeight="1">
      <c r="A4" s="2" t="s">
        <v>3</v>
      </c>
      <c r="B4" s="22">
        <f>'субв от числ уточ'!C6</f>
        <v>12483</v>
      </c>
      <c r="C4" s="74">
        <f>ДП!E8</f>
        <v>36191.28353525032</v>
      </c>
      <c r="D4" s="5">
        <f>(C4/B4)/(C14/B14)</f>
        <v>1.0168555662061918</v>
      </c>
      <c r="E4" s="22">
        <f>B4</f>
        <v>12483</v>
      </c>
      <c r="F4" s="74">
        <f>ДП!I8</f>
        <v>36191.28353525032</v>
      </c>
      <c r="G4" s="5">
        <f>(F4/E4)/(F14/E14)</f>
        <v>0.9962145413088962</v>
      </c>
      <c r="H4" s="22">
        <f>'Коэф.масшт.'!C5</f>
        <v>12483</v>
      </c>
      <c r="I4" s="74">
        <f>ДП!N8</f>
        <v>36191.28353525032</v>
      </c>
      <c r="J4" s="5">
        <f>(I4/H4)/(I14/H14)</f>
        <v>0.9837233480061858</v>
      </c>
    </row>
    <row r="5" spans="1:10" ht="24" customHeight="1">
      <c r="A5" s="2" t="s">
        <v>4</v>
      </c>
      <c r="B5" s="22">
        <f>'субв от числ уточ'!C7</f>
        <v>7787</v>
      </c>
      <c r="C5" s="74">
        <f>ДП!E9</f>
        <v>8492.981454500492</v>
      </c>
      <c r="D5" s="5">
        <f>(C5/B5)/(C14/B14)</f>
        <v>0.3825289039250316</v>
      </c>
      <c r="E5" s="22">
        <f aca="true" t="shared" si="0" ref="E5:E13">B5</f>
        <v>7787</v>
      </c>
      <c r="F5" s="74">
        <f>ДП!I9</f>
        <v>8968.279123158076</v>
      </c>
      <c r="G5" s="5">
        <f>(F5/E5)/(F14/E14)</f>
        <v>0.39573713308547454</v>
      </c>
      <c r="H5" s="22">
        <f>'Коэф.масшт.'!C6</f>
        <v>7787</v>
      </c>
      <c r="I5" s="74">
        <f>ДП!N9</f>
        <v>8991.315502469977</v>
      </c>
      <c r="J5" s="5">
        <f>(I5/H5)/(I14/H14)</f>
        <v>0.3917788854774192</v>
      </c>
    </row>
    <row r="6" spans="1:10" ht="26.25" customHeight="1">
      <c r="A6" s="2" t="s">
        <v>5</v>
      </c>
      <c r="B6" s="22">
        <f>'субв от числ уточ'!C8</f>
        <v>1656</v>
      </c>
      <c r="C6" s="74">
        <f>ДП!E10</f>
        <v>2558.198735176118</v>
      </c>
      <c r="D6" s="5">
        <f>(C6/B6)/(C14/B14)</f>
        <v>0.5418114796712892</v>
      </c>
      <c r="E6" s="22">
        <f t="shared" si="0"/>
        <v>1656</v>
      </c>
      <c r="F6" s="74">
        <f>ДП!I10</f>
        <v>3037.7844359048313</v>
      </c>
      <c r="G6" s="5">
        <f>(F6/E6)/(F14/E14)</f>
        <v>0.6303249261537556</v>
      </c>
      <c r="H6" s="22">
        <f>'Коэф.масшт.'!C7</f>
        <v>1656</v>
      </c>
      <c r="I6" s="74">
        <f>ДП!N10</f>
        <v>3769.4539619863713</v>
      </c>
      <c r="J6" s="5">
        <f>(I6/H6)/(I14/H14)</f>
        <v>0.7723356378597052</v>
      </c>
    </row>
    <row r="7" spans="1:10" ht="29.25" customHeight="1">
      <c r="A7" s="2" t="s">
        <v>6</v>
      </c>
      <c r="B7" s="22">
        <f>'субв от числ уточ'!C9</f>
        <v>1413</v>
      </c>
      <c r="C7" s="74">
        <f>ДП!E11</f>
        <v>7589.538916742185</v>
      </c>
      <c r="D7" s="5">
        <f>(C7/B7)/(C14/B14)</f>
        <v>1.8838550573813113</v>
      </c>
      <c r="E7" s="22">
        <f t="shared" si="0"/>
        <v>1413</v>
      </c>
      <c r="F7" s="74">
        <f>ДП!I11</f>
        <v>7756.3598434871965</v>
      </c>
      <c r="G7" s="5">
        <f>(F7/E7)/(F14/E14)</f>
        <v>1.8861822291557628</v>
      </c>
      <c r="H7" s="22">
        <f>'Коэф.масшт.'!C8</f>
        <v>1413</v>
      </c>
      <c r="I7" s="74">
        <f>ДП!N11</f>
        <v>7756.3598434871965</v>
      </c>
      <c r="J7" s="5">
        <f>(I7/H7)/(I14/H14)</f>
        <v>1.8625320354961057</v>
      </c>
    </row>
    <row r="8" spans="1:10" ht="25.5" customHeight="1">
      <c r="A8" s="2" t="s">
        <v>7</v>
      </c>
      <c r="B8" s="22">
        <f>'субв от числ уточ'!C10</f>
        <v>2173</v>
      </c>
      <c r="C8" s="74">
        <f>ДП!E12</f>
        <v>4290.004918716206</v>
      </c>
      <c r="D8" s="5">
        <f>(C8/B8)/(C14/B14)</f>
        <v>0.6924243289861568</v>
      </c>
      <c r="E8" s="22">
        <f t="shared" si="0"/>
        <v>2173</v>
      </c>
      <c r="F8" s="74">
        <f>ДП!I12</f>
        <v>4584.552386714706</v>
      </c>
      <c r="G8" s="5">
        <f>(F8/E8)/(F14/E14)</f>
        <v>0.7249450265615602</v>
      </c>
      <c r="H8" s="22">
        <f>'Коэф.масшт.'!C9</f>
        <v>2173</v>
      </c>
      <c r="I8" s="74">
        <f>ДП!N12</f>
        <v>4713.516183678628</v>
      </c>
      <c r="J8" s="5">
        <f>(I8/H8)/(I14/H14)</f>
        <v>0.7359922481874681</v>
      </c>
    </row>
    <row r="9" spans="1:10" ht="27.75" customHeight="1">
      <c r="A9" s="2" t="s">
        <v>8</v>
      </c>
      <c r="B9" s="22">
        <f>'субв от числ уточ'!C11</f>
        <v>2387</v>
      </c>
      <c r="C9" s="74">
        <f>ДП!E13</f>
        <v>5363.6751179294615</v>
      </c>
      <c r="D9" s="5">
        <f>(C9/B9)/(C14/B14)</f>
        <v>0.7881053948714679</v>
      </c>
      <c r="E9" s="22">
        <f t="shared" si="0"/>
        <v>2387</v>
      </c>
      <c r="F9" s="74">
        <f>ДП!I13</f>
        <v>5558.206489860334</v>
      </c>
      <c r="G9" s="5">
        <f>(F9/E9)/(F14/E14)</f>
        <v>0.8001107755830943</v>
      </c>
      <c r="H9" s="22">
        <f>'Коэф.масшт.'!C10</f>
        <v>2387</v>
      </c>
      <c r="I9" s="74">
        <f>ДП!N13</f>
        <v>5558.206489860334</v>
      </c>
      <c r="J9" s="5">
        <f>(I9/H9)/(I14/H14)</f>
        <v>0.7900784603066492</v>
      </c>
    </row>
    <row r="10" spans="1:10" ht="25.5" customHeight="1">
      <c r="A10" s="2" t="s">
        <v>9</v>
      </c>
      <c r="B10" s="22">
        <f>'субв от числ уточ'!C12</f>
        <v>3213</v>
      </c>
      <c r="C10" s="74">
        <f>ДП!E14</f>
        <v>4622.54294490833</v>
      </c>
      <c r="D10" s="5">
        <f>(C10/B10)/(C14/B14)</f>
        <v>0.5045967907302666</v>
      </c>
      <c r="E10" s="22">
        <f t="shared" si="0"/>
        <v>3213</v>
      </c>
      <c r="F10" s="74">
        <f>ДП!I14</f>
        <v>5023.549883830052</v>
      </c>
      <c r="G10" s="5">
        <f>(F10/E10)/(F14/E14)</f>
        <v>0.537239399500389</v>
      </c>
      <c r="H10" s="22">
        <f>'Коэф.масшт.'!C11</f>
        <v>3213</v>
      </c>
      <c r="I10" s="74">
        <f>ДП!N14</f>
        <v>5342.664933907292</v>
      </c>
      <c r="J10" s="5">
        <f>(I10/H10)/(I14/H14)</f>
        <v>0.5642027213412408</v>
      </c>
    </row>
    <row r="11" spans="1:10" ht="26.25" customHeight="1">
      <c r="A11" s="2" t="s">
        <v>10</v>
      </c>
      <c r="B11" s="22">
        <f>'субв от числ уточ'!C13</f>
        <v>2463</v>
      </c>
      <c r="C11" s="74">
        <f>ДП!E15</f>
        <v>2680.0989266820498</v>
      </c>
      <c r="D11" s="5">
        <f>(C11/B11)/(C14/B14)</f>
        <v>0.38164595874844026</v>
      </c>
      <c r="E11" s="22">
        <f t="shared" si="0"/>
        <v>2463</v>
      </c>
      <c r="F11" s="74">
        <f>ДП!I15</f>
        <v>2982.9169230213474</v>
      </c>
      <c r="G11" s="5">
        <f>(F11/E11)/(F14/E14)</f>
        <v>0.4161449297133061</v>
      </c>
      <c r="H11" s="22">
        <f>'Коэф.масшт.'!C12</f>
        <v>2463</v>
      </c>
      <c r="I11" s="74">
        <f>ДП!N15</f>
        <v>3319.4198784127148</v>
      </c>
      <c r="J11" s="5">
        <f>(I11/H11)/(I14/H14)</f>
        <v>0.45728372256444955</v>
      </c>
    </row>
    <row r="12" spans="1:10" ht="25.5" customHeight="1">
      <c r="A12" s="2" t="s">
        <v>11</v>
      </c>
      <c r="B12" s="22">
        <f>'субв от числ уточ'!C14</f>
        <v>2693</v>
      </c>
      <c r="C12" s="74">
        <f>ДП!E16</f>
        <v>7018.048716844966</v>
      </c>
      <c r="D12" s="5">
        <f>(C12/B12)/(C14/B14)</f>
        <v>0.9140170144533006</v>
      </c>
      <c r="E12" s="22">
        <f t="shared" si="0"/>
        <v>2693</v>
      </c>
      <c r="F12" s="74">
        <f>ДП!I16</f>
        <v>7164.152937697295</v>
      </c>
      <c r="G12" s="5">
        <f>(F12/E12)/(F14/E14)</f>
        <v>0.9141055723960564</v>
      </c>
      <c r="H12" s="22">
        <f>'Коэф.масшт.'!C13</f>
        <v>2693</v>
      </c>
      <c r="I12" s="74">
        <f>ДП!N16</f>
        <v>7164.152937697295</v>
      </c>
      <c r="J12" s="5">
        <f>(I12/H12)/(I14/H14)</f>
        <v>0.902643915362942</v>
      </c>
    </row>
    <row r="13" spans="1:10" ht="25.5" customHeight="1">
      <c r="A13" s="2" t="s">
        <v>12</v>
      </c>
      <c r="B13" s="22">
        <f>'субв от числ уточ'!C15</f>
        <v>5386</v>
      </c>
      <c r="C13" s="74">
        <f>ДП!E17</f>
        <v>39956.98173324987</v>
      </c>
      <c r="D13" s="5">
        <f>(C13/B13)/(C14/B14)</f>
        <v>2.6019597913826296</v>
      </c>
      <c r="E13" s="22">
        <f t="shared" si="0"/>
        <v>5386</v>
      </c>
      <c r="F13" s="74">
        <f>ДП!I17</f>
        <v>39956.98173324987</v>
      </c>
      <c r="G13" s="5">
        <f>(F13/E13)/(F14/E14)</f>
        <v>2.5491429326068373</v>
      </c>
      <c r="H13" s="22">
        <f>'Коэф.масшт.'!C14</f>
        <v>5386</v>
      </c>
      <c r="I13" s="74">
        <f>ДП!N17</f>
        <v>39956.98173324987</v>
      </c>
      <c r="J13" s="5">
        <f>(I13/H13)/(I14/H14)</f>
        <v>2.5171801015026114</v>
      </c>
    </row>
    <row r="14" spans="1:10" ht="18.75" customHeight="1">
      <c r="A14" s="11" t="s">
        <v>70</v>
      </c>
      <c r="B14" s="73">
        <f>SUM(B4:B13)</f>
        <v>41654</v>
      </c>
      <c r="C14" s="73">
        <f>SUM(C4:C13)</f>
        <v>118763.35499999998</v>
      </c>
      <c r="D14" s="20"/>
      <c r="E14" s="73">
        <f>SUM(E4:E13)</f>
        <v>41654</v>
      </c>
      <c r="F14" s="73">
        <f>SUM(F4:F13)</f>
        <v>121224.06729217403</v>
      </c>
      <c r="G14" s="20"/>
      <c r="H14" s="73">
        <f>SUM(H4:H13)</f>
        <v>41654</v>
      </c>
      <c r="I14" s="73">
        <f>SUM(I4:I13)</f>
        <v>122763.35499999998</v>
      </c>
      <c r="J14" s="20"/>
    </row>
    <row r="16" ht="18.75" customHeight="1">
      <c r="A16" s="87"/>
    </row>
  </sheetData>
  <sheetProtection/>
  <mergeCells count="5">
    <mergeCell ref="A1:J1"/>
    <mergeCell ref="E2:G2"/>
    <mergeCell ref="B2:D2"/>
    <mergeCell ref="H2:J2"/>
    <mergeCell ref="A2:A3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Финанасовый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Геннадьевна</dc:creator>
  <cp:keywords/>
  <dc:description/>
  <cp:lastModifiedBy>FedotovaNV</cp:lastModifiedBy>
  <cp:lastPrinted>2020-10-08T11:05:32Z</cp:lastPrinted>
  <dcterms:created xsi:type="dcterms:W3CDTF">2005-11-18T06:27:58Z</dcterms:created>
  <dcterms:modified xsi:type="dcterms:W3CDTF">2021-04-26T05:39:49Z</dcterms:modified>
  <cp:category/>
  <cp:version/>
  <cp:contentType/>
  <cp:contentStatus/>
</cp:coreProperties>
</file>